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9" yWindow="549" windowWidth="16080" windowHeight="5211" activeTab="3"/>
  </bookViews>
  <sheets>
    <sheet name="1 класс" sheetId="1" r:id="rId1"/>
    <sheet name="2 класс" sheetId="2" r:id="rId2"/>
    <sheet name="3 класс" sheetId="3" r:id="rId3"/>
    <sheet name="4 класс" sheetId="4" r:id="rId4"/>
    <sheet name="Критерии 1 класс " sheetId="5" r:id="rId5"/>
    <sheet name="Критерии 2 класс" sheetId="6" r:id="rId6"/>
    <sheet name="Критерии 3 класс" sheetId="7" r:id="rId7"/>
    <sheet name="Критерии 4 класс" sheetId="8" r:id="rId8"/>
  </sheets>
  <definedNames>
    <definedName name="_xlnm._FilterDatabase" localSheetId="0" hidden="1">'1 класс'!$A$8:$AA$623</definedName>
    <definedName name="_xlnm._FilterDatabase" localSheetId="1" hidden="1">'2 класс'!$A$8:$AA$493</definedName>
    <definedName name="_xlnm._FilterDatabase" localSheetId="2" hidden="1">'3 класс'!$A$8:$AA$613</definedName>
    <definedName name="_xlnm._FilterDatabase" localSheetId="3" hidden="1">'4 класс'!$A$8:$AA$543</definedName>
  </definedNames>
  <calcPr calcId="125725"/>
</workbook>
</file>

<file path=xl/calcChain.xml><?xml version="1.0" encoding="utf-8"?>
<calcChain xmlns="http://schemas.openxmlformats.org/spreadsheetml/2006/main">
  <c r="A540" i="4"/>
  <c r="C538"/>
  <c r="M536"/>
  <c r="B535"/>
  <c r="D533"/>
  <c r="A532"/>
  <c r="C530"/>
  <c r="M528"/>
  <c r="C527"/>
  <c r="M525"/>
  <c r="B524"/>
  <c r="D522"/>
  <c r="B521"/>
  <c r="D519"/>
  <c r="A518"/>
  <c r="C516"/>
  <c r="M514"/>
  <c r="B513"/>
  <c r="D511"/>
  <c r="A510"/>
  <c r="C508"/>
  <c r="M506"/>
  <c r="B505"/>
  <c r="D503"/>
  <c r="A502"/>
  <c r="C500"/>
  <c r="M498"/>
  <c r="B497"/>
  <c r="M495"/>
  <c r="B494"/>
  <c r="D492"/>
  <c r="A491"/>
  <c r="C489"/>
  <c r="M487"/>
  <c r="B486"/>
  <c r="D484"/>
  <c r="A483"/>
  <c r="C481"/>
  <c r="M479"/>
  <c r="B478"/>
  <c r="D476"/>
  <c r="A475"/>
  <c r="C473"/>
  <c r="M471"/>
  <c r="B470"/>
  <c r="D468"/>
  <c r="A467"/>
  <c r="C465"/>
  <c r="M463"/>
  <c r="B462"/>
  <c r="D460"/>
  <c r="A459"/>
  <c r="C457"/>
  <c r="M455"/>
  <c r="B454"/>
  <c r="D452"/>
  <c r="A451"/>
  <c r="C449"/>
  <c r="M447"/>
  <c r="B446"/>
  <c r="D444"/>
  <c r="A443"/>
  <c r="C441"/>
  <c r="A440"/>
  <c r="C438"/>
  <c r="M436"/>
  <c r="B435"/>
  <c r="D433"/>
  <c r="A432"/>
  <c r="D430"/>
  <c r="A429"/>
  <c r="C427"/>
  <c r="M425"/>
  <c r="B424"/>
  <c r="D422"/>
  <c r="A421"/>
  <c r="D419"/>
  <c r="A418"/>
  <c r="C416"/>
  <c r="M414"/>
  <c r="B413"/>
  <c r="L411"/>
  <c r="B410"/>
  <c r="D408"/>
  <c r="B407"/>
  <c r="D405"/>
  <c r="A404"/>
  <c r="C402"/>
  <c r="M400"/>
  <c r="B399"/>
  <c r="D397"/>
  <c r="A396"/>
  <c r="C394"/>
  <c r="M392"/>
  <c r="B391"/>
  <c r="D389"/>
  <c r="B388"/>
  <c r="M386"/>
  <c r="B385"/>
  <c r="D383"/>
  <c r="A382"/>
  <c r="C380"/>
  <c r="M378"/>
  <c r="B377"/>
  <c r="D375"/>
  <c r="A374"/>
  <c r="C372"/>
  <c r="A371"/>
  <c r="E369"/>
  <c r="B368"/>
  <c r="D366"/>
  <c r="A365"/>
  <c r="C363"/>
  <c r="M361"/>
  <c r="C360"/>
  <c r="A359"/>
  <c r="E357"/>
  <c r="C356"/>
  <c r="A355"/>
  <c r="E353"/>
  <c r="C352"/>
  <c r="A351"/>
  <c r="K349"/>
  <c r="C349"/>
  <c r="A348"/>
  <c r="I346"/>
  <c r="C345"/>
  <c r="A344"/>
  <c r="F342"/>
  <c r="C341"/>
  <c r="A340"/>
  <c r="M338"/>
  <c r="D337"/>
  <c r="B336"/>
  <c r="M334"/>
  <c r="H333"/>
  <c r="M332"/>
  <c r="G331"/>
  <c r="E330"/>
  <c r="D329"/>
  <c r="C328"/>
  <c r="B327"/>
  <c r="A326"/>
  <c r="M324"/>
  <c r="F323"/>
  <c r="E322"/>
  <c r="E321"/>
  <c r="D320"/>
  <c r="D319"/>
  <c r="D318"/>
  <c r="D317"/>
  <c r="D316"/>
  <c r="D315"/>
  <c r="D314"/>
  <c r="C313"/>
  <c r="C312"/>
  <c r="A311"/>
  <c r="A310"/>
  <c r="E308"/>
  <c r="C307"/>
  <c r="A306"/>
  <c r="E304"/>
  <c r="C303"/>
  <c r="A302"/>
  <c r="E300"/>
  <c r="E299"/>
  <c r="C298"/>
  <c r="A297"/>
  <c r="E295"/>
  <c r="C294"/>
  <c r="A293"/>
  <c r="E291"/>
  <c r="C290"/>
  <c r="A289"/>
  <c r="M287"/>
  <c r="D286"/>
  <c r="B285"/>
  <c r="M283"/>
  <c r="D282"/>
  <c r="C281"/>
  <c r="A280"/>
  <c r="E278"/>
  <c r="C277"/>
  <c r="A276"/>
  <c r="L274"/>
  <c r="C274"/>
  <c r="C273"/>
  <c r="A272"/>
  <c r="F270"/>
  <c r="C269"/>
  <c r="A268"/>
  <c r="E266"/>
  <c r="F265"/>
  <c r="F264"/>
  <c r="D263"/>
  <c r="C262"/>
  <c r="F261"/>
  <c r="E260"/>
  <c r="D259"/>
  <c r="C258"/>
  <c r="H257"/>
  <c r="M256"/>
  <c r="I255"/>
  <c r="I254"/>
  <c r="E253"/>
  <c r="D252"/>
  <c r="C251"/>
  <c r="B250"/>
  <c r="A249"/>
  <c r="M247"/>
  <c r="G246"/>
  <c r="E245"/>
  <c r="D244"/>
  <c r="C243"/>
  <c r="E242"/>
  <c r="D241"/>
  <c r="C240"/>
  <c r="B239"/>
  <c r="A238"/>
  <c r="M236"/>
  <c r="F235"/>
  <c r="E234"/>
  <c r="D233"/>
  <c r="C232"/>
  <c r="B231"/>
  <c r="A230"/>
  <c r="M228"/>
  <c r="F227"/>
  <c r="E226"/>
  <c r="E225"/>
  <c r="D224"/>
  <c r="C223"/>
  <c r="B222"/>
  <c r="A221"/>
  <c r="M219"/>
  <c r="F218"/>
  <c r="E217"/>
  <c r="D216"/>
  <c r="D215"/>
  <c r="C214"/>
  <c r="B213"/>
  <c r="A212"/>
  <c r="B211"/>
  <c r="A210"/>
  <c r="M208"/>
  <c r="F207"/>
  <c r="J206"/>
  <c r="A206"/>
  <c r="M204"/>
  <c r="F203"/>
  <c r="E202"/>
  <c r="D201"/>
  <c r="F200"/>
  <c r="E199"/>
  <c r="D198"/>
  <c r="D197"/>
  <c r="B540"/>
  <c r="D538"/>
  <c r="A537"/>
  <c r="C535"/>
  <c r="M533"/>
  <c r="B532"/>
  <c r="D530"/>
  <c r="A529"/>
  <c r="D527"/>
  <c r="A526"/>
  <c r="C524"/>
  <c r="M522"/>
  <c r="C521"/>
  <c r="M519"/>
  <c r="B518"/>
  <c r="D516"/>
  <c r="A515"/>
  <c r="C513"/>
  <c r="M511"/>
  <c r="B510"/>
  <c r="D508"/>
  <c r="A507"/>
  <c r="C505"/>
  <c r="M503"/>
  <c r="B502"/>
  <c r="D500"/>
  <c r="A499"/>
  <c r="C497"/>
  <c r="A496"/>
  <c r="C494"/>
  <c r="M492"/>
  <c r="B491"/>
  <c r="D489"/>
  <c r="A488"/>
  <c r="C486"/>
  <c r="M484"/>
  <c r="B483"/>
  <c r="D481"/>
  <c r="A480"/>
  <c r="C478"/>
  <c r="M476"/>
  <c r="B475"/>
  <c r="D473"/>
  <c r="A472"/>
  <c r="C470"/>
  <c r="M468"/>
  <c r="B467"/>
  <c r="D465"/>
  <c r="A464"/>
  <c r="C462"/>
  <c r="M460"/>
  <c r="B459"/>
  <c r="D457"/>
  <c r="A456"/>
  <c r="C454"/>
  <c r="M452"/>
  <c r="B451"/>
  <c r="D449"/>
  <c r="A448"/>
  <c r="C446"/>
  <c r="M444"/>
  <c r="B443"/>
  <c r="D441"/>
  <c r="B440"/>
  <c r="D438"/>
  <c r="A437"/>
  <c r="C435"/>
  <c r="M433"/>
  <c r="B432"/>
  <c r="E430"/>
  <c r="B429"/>
  <c r="D427"/>
  <c r="A426"/>
  <c r="C424"/>
  <c r="M422"/>
  <c r="B421"/>
  <c r="E419"/>
  <c r="B418"/>
  <c r="D416"/>
  <c r="A415"/>
  <c r="C413"/>
  <c r="M411"/>
  <c r="C410"/>
  <c r="M408"/>
  <c r="C407"/>
  <c r="M405"/>
  <c r="B404"/>
  <c r="D402"/>
  <c r="A401"/>
  <c r="C399"/>
  <c r="M397"/>
  <c r="B396"/>
  <c r="D394"/>
  <c r="A393"/>
  <c r="C391"/>
  <c r="M389"/>
  <c r="C388"/>
  <c r="A387"/>
  <c r="C385"/>
  <c r="M383"/>
  <c r="B382"/>
  <c r="D380"/>
  <c r="A379"/>
  <c r="C377"/>
  <c r="M375"/>
  <c r="B374"/>
  <c r="D372"/>
  <c r="B371"/>
  <c r="M369"/>
  <c r="C368"/>
  <c r="M366"/>
  <c r="B365"/>
  <c r="D363"/>
  <c r="A362"/>
  <c r="D360"/>
  <c r="B359"/>
  <c r="M357"/>
  <c r="D356"/>
  <c r="B355"/>
  <c r="M353"/>
  <c r="D352"/>
  <c r="B351"/>
  <c r="M349"/>
  <c r="D349"/>
  <c r="B348"/>
  <c r="M346"/>
  <c r="D345"/>
  <c r="B344"/>
  <c r="M342"/>
  <c r="D341"/>
  <c r="B340"/>
  <c r="A339"/>
  <c r="F337"/>
  <c r="C336"/>
  <c r="A335"/>
  <c r="I333"/>
  <c r="A333"/>
  <c r="M331"/>
  <c r="F330"/>
  <c r="E329"/>
  <c r="D328"/>
  <c r="C327"/>
  <c r="B326"/>
  <c r="A325"/>
  <c r="M323"/>
  <c r="F322"/>
  <c r="F321"/>
  <c r="E320"/>
  <c r="F319"/>
  <c r="E318"/>
  <c r="E317"/>
  <c r="E316"/>
  <c r="G315"/>
  <c r="E314"/>
  <c r="D313"/>
  <c r="D312"/>
  <c r="B311"/>
  <c r="B310"/>
  <c r="M308"/>
  <c r="D307"/>
  <c r="B306"/>
  <c r="M304"/>
  <c r="D303"/>
  <c r="B302"/>
  <c r="M300"/>
  <c r="F299"/>
  <c r="D298"/>
  <c r="B297"/>
  <c r="M295"/>
  <c r="D294"/>
  <c r="B293"/>
  <c r="M291"/>
  <c r="D290"/>
  <c r="B289"/>
  <c r="A288"/>
  <c r="E286"/>
  <c r="C285"/>
  <c r="A284"/>
  <c r="E282"/>
  <c r="D281"/>
  <c r="B280"/>
  <c r="M278"/>
  <c r="D277"/>
  <c r="B276"/>
  <c r="M274"/>
  <c r="D274"/>
  <c r="D273"/>
  <c r="B272"/>
  <c r="M270"/>
  <c r="D269"/>
  <c r="B268"/>
  <c r="M266"/>
  <c r="G265"/>
  <c r="G264"/>
  <c r="E263"/>
  <c r="D262"/>
  <c r="G261"/>
  <c r="G260"/>
  <c r="E259"/>
  <c r="D258"/>
  <c r="I257"/>
  <c r="A257"/>
  <c r="M255"/>
  <c r="M254"/>
  <c r="F253"/>
  <c r="E252"/>
  <c r="D251"/>
  <c r="C250"/>
  <c r="B249"/>
  <c r="A248"/>
  <c r="M246"/>
  <c r="F245"/>
  <c r="E244"/>
  <c r="D243"/>
  <c r="F242"/>
  <c r="E241"/>
  <c r="D240"/>
  <c r="C239"/>
  <c r="B238"/>
  <c r="A237"/>
  <c r="M235"/>
  <c r="F234"/>
  <c r="E233"/>
  <c r="D232"/>
  <c r="C231"/>
  <c r="B230"/>
  <c r="A229"/>
  <c r="C540"/>
  <c r="M538"/>
  <c r="B537"/>
  <c r="D535"/>
  <c r="A534"/>
  <c r="C532"/>
  <c r="M530"/>
  <c r="B529"/>
  <c r="E527"/>
  <c r="B526"/>
  <c r="D524"/>
  <c r="A523"/>
  <c r="D521"/>
  <c r="A520"/>
  <c r="C518"/>
  <c r="M516"/>
  <c r="B515"/>
  <c r="D513"/>
  <c r="A512"/>
  <c r="C510"/>
  <c r="M508"/>
  <c r="B507"/>
  <c r="D505"/>
  <c r="A504"/>
  <c r="C502"/>
  <c r="M500"/>
  <c r="B499"/>
  <c r="D497"/>
  <c r="B496"/>
  <c r="D494"/>
  <c r="A493"/>
  <c r="C491"/>
  <c r="M489"/>
  <c r="B488"/>
  <c r="D486"/>
  <c r="A485"/>
  <c r="C483"/>
  <c r="M481"/>
  <c r="B480"/>
  <c r="D478"/>
  <c r="A477"/>
  <c r="C475"/>
  <c r="M473"/>
  <c r="B472"/>
  <c r="D470"/>
  <c r="A469"/>
  <c r="C467"/>
  <c r="M465"/>
  <c r="B464"/>
  <c r="D462"/>
  <c r="A461"/>
  <c r="C459"/>
  <c r="M457"/>
  <c r="B456"/>
  <c r="D454"/>
  <c r="A453"/>
  <c r="C451"/>
  <c r="M449"/>
  <c r="B448"/>
  <c r="D446"/>
  <c r="A445"/>
  <c r="C443"/>
  <c r="M441"/>
  <c r="C440"/>
  <c r="M438"/>
  <c r="B437"/>
  <c r="D435"/>
  <c r="A434"/>
  <c r="C432"/>
  <c r="M430"/>
  <c r="C429"/>
  <c r="M427"/>
  <c r="B426"/>
  <c r="D424"/>
  <c r="A423"/>
  <c r="C421"/>
  <c r="M419"/>
  <c r="C418"/>
  <c r="M416"/>
  <c r="B415"/>
  <c r="D413"/>
  <c r="A412"/>
  <c r="D410"/>
  <c r="A409"/>
  <c r="D407"/>
  <c r="A406"/>
  <c r="C404"/>
  <c r="M402"/>
  <c r="B401"/>
  <c r="D399"/>
  <c r="A398"/>
  <c r="C396"/>
  <c r="M394"/>
  <c r="B393"/>
  <c r="D391"/>
  <c r="A390"/>
  <c r="D388"/>
  <c r="B387"/>
  <c r="D385"/>
  <c r="A384"/>
  <c r="C382"/>
  <c r="M380"/>
  <c r="B379"/>
  <c r="D377"/>
  <c r="A376"/>
  <c r="C374"/>
  <c r="M372"/>
  <c r="C371"/>
  <c r="A370"/>
  <c r="D368"/>
  <c r="A367"/>
  <c r="C365"/>
  <c r="M363"/>
  <c r="B362"/>
  <c r="E360"/>
  <c r="C359"/>
  <c r="A358"/>
  <c r="E356"/>
  <c r="C355"/>
  <c r="A354"/>
  <c r="F352"/>
  <c r="C351"/>
  <c r="A350"/>
  <c r="E349"/>
  <c r="C348"/>
  <c r="A347"/>
  <c r="E345"/>
  <c r="C344"/>
  <c r="A343"/>
  <c r="F341"/>
  <c r="C340"/>
  <c r="B339"/>
  <c r="M337"/>
  <c r="D336"/>
  <c r="B335"/>
  <c r="M333"/>
  <c r="B333"/>
  <c r="A332"/>
  <c r="M330"/>
  <c r="I329"/>
  <c r="F328"/>
  <c r="D327"/>
  <c r="C326"/>
  <c r="B325"/>
  <c r="A324"/>
  <c r="M322"/>
  <c r="G321"/>
  <c r="J320"/>
  <c r="G319"/>
  <c r="F318"/>
  <c r="G317"/>
  <c r="F316"/>
  <c r="I315"/>
  <c r="G314"/>
  <c r="E313"/>
  <c r="E312"/>
  <c r="C311"/>
  <c r="C310"/>
  <c r="A309"/>
  <c r="E307"/>
  <c r="C306"/>
  <c r="A305"/>
  <c r="E303"/>
  <c r="C302"/>
  <c r="A301"/>
  <c r="L299"/>
  <c r="E298"/>
  <c r="C297"/>
  <c r="A296"/>
  <c r="E294"/>
  <c r="C293"/>
  <c r="A292"/>
  <c r="E290"/>
  <c r="C289"/>
  <c r="B288"/>
  <c r="M286"/>
  <c r="D285"/>
  <c r="B284"/>
  <c r="M282"/>
  <c r="G281"/>
  <c r="C280"/>
  <c r="A279"/>
  <c r="E277"/>
  <c r="C276"/>
  <c r="A275"/>
  <c r="E274"/>
  <c r="E273"/>
  <c r="C272"/>
  <c r="A271"/>
  <c r="E269"/>
  <c r="C268"/>
  <c r="A267"/>
  <c r="K265"/>
  <c r="M264"/>
  <c r="I263"/>
  <c r="E262"/>
  <c r="H261"/>
  <c r="M260"/>
  <c r="G259"/>
  <c r="E258"/>
  <c r="J257"/>
  <c r="B257"/>
  <c r="A256"/>
  <c r="A255"/>
  <c r="M253"/>
  <c r="I252"/>
  <c r="E251"/>
  <c r="D250"/>
  <c r="C249"/>
  <c r="B248"/>
  <c r="A247"/>
  <c r="M245"/>
  <c r="I244"/>
  <c r="E243"/>
  <c r="G242"/>
  <c r="F241"/>
  <c r="E240"/>
  <c r="D239"/>
  <c r="C238"/>
  <c r="B237"/>
  <c r="A236"/>
  <c r="M234"/>
  <c r="I233"/>
  <c r="F232"/>
  <c r="D231"/>
  <c r="C230"/>
  <c r="B229"/>
  <c r="A228"/>
  <c r="M226"/>
  <c r="I225"/>
  <c r="F224"/>
  <c r="E223"/>
  <c r="D222"/>
  <c r="C221"/>
  <c r="D540"/>
  <c r="A539"/>
  <c r="C537"/>
  <c r="M535"/>
  <c r="B534"/>
  <c r="D532"/>
  <c r="A531"/>
  <c r="C529"/>
  <c r="M527"/>
  <c r="C526"/>
  <c r="M524"/>
  <c r="B523"/>
  <c r="H521"/>
  <c r="B520"/>
  <c r="D518"/>
  <c r="A517"/>
  <c r="C515"/>
  <c r="M513"/>
  <c r="B512"/>
  <c r="D510"/>
  <c r="A509"/>
  <c r="C507"/>
  <c r="M505"/>
  <c r="B504"/>
  <c r="D502"/>
  <c r="A501"/>
  <c r="C499"/>
  <c r="M497"/>
  <c r="C496"/>
  <c r="M494"/>
  <c r="B493"/>
  <c r="D491"/>
  <c r="A490"/>
  <c r="C488"/>
  <c r="M486"/>
  <c r="B485"/>
  <c r="D483"/>
  <c r="A482"/>
  <c r="C480"/>
  <c r="M478"/>
  <c r="B477"/>
  <c r="D475"/>
  <c r="A474"/>
  <c r="C472"/>
  <c r="M470"/>
  <c r="B469"/>
  <c r="D467"/>
  <c r="A466"/>
  <c r="C464"/>
  <c r="M462"/>
  <c r="B461"/>
  <c r="D459"/>
  <c r="A458"/>
  <c r="C456"/>
  <c r="M454"/>
  <c r="B453"/>
  <c r="D451"/>
  <c r="A450"/>
  <c r="C448"/>
  <c r="M446"/>
  <c r="B445"/>
  <c r="D443"/>
  <c r="A442"/>
  <c r="D440"/>
  <c r="A439"/>
  <c r="C437"/>
  <c r="M435"/>
  <c r="B434"/>
  <c r="D432"/>
  <c r="A431"/>
  <c r="D429"/>
  <c r="A428"/>
  <c r="C426"/>
  <c r="M424"/>
  <c r="B423"/>
  <c r="D421"/>
  <c r="A420"/>
  <c r="D418"/>
  <c r="A417"/>
  <c r="C415"/>
  <c r="M413"/>
  <c r="B412"/>
  <c r="M410"/>
  <c r="B409"/>
  <c r="G407"/>
  <c r="B406"/>
  <c r="D404"/>
  <c r="A403"/>
  <c r="C401"/>
  <c r="M399"/>
  <c r="B398"/>
  <c r="D396"/>
  <c r="A395"/>
  <c r="C393"/>
  <c r="M391"/>
  <c r="B390"/>
  <c r="E388"/>
  <c r="C387"/>
  <c r="M385"/>
  <c r="B384"/>
  <c r="D382"/>
  <c r="A381"/>
  <c r="C379"/>
  <c r="M377"/>
  <c r="B376"/>
  <c r="D374"/>
  <c r="A373"/>
  <c r="D371"/>
  <c r="B370"/>
  <c r="M368"/>
  <c r="B367"/>
  <c r="D365"/>
  <c r="A364"/>
  <c r="C362"/>
  <c r="M360"/>
  <c r="D359"/>
  <c r="B358"/>
  <c r="M356"/>
  <c r="D355"/>
  <c r="B354"/>
  <c r="M352"/>
  <c r="D351"/>
  <c r="B350"/>
  <c r="F349"/>
  <c r="D348"/>
  <c r="B347"/>
  <c r="M345"/>
  <c r="D344"/>
  <c r="B343"/>
  <c r="M341"/>
  <c r="D340"/>
  <c r="C339"/>
  <c r="A338"/>
  <c r="F336"/>
  <c r="C335"/>
  <c r="A334"/>
  <c r="C333"/>
  <c r="B332"/>
  <c r="A331"/>
  <c r="M329"/>
  <c r="I328"/>
  <c r="E327"/>
  <c r="D326"/>
  <c r="C325"/>
  <c r="B324"/>
  <c r="A323"/>
  <c r="M321"/>
  <c r="M320"/>
  <c r="I319"/>
  <c r="I318"/>
  <c r="I317"/>
  <c r="I316"/>
  <c r="L315"/>
  <c r="I314"/>
  <c r="H313"/>
  <c r="F312"/>
  <c r="D311"/>
  <c r="D310"/>
  <c r="B309"/>
  <c r="M307"/>
  <c r="D306"/>
  <c r="B305"/>
  <c r="M303"/>
  <c r="D302"/>
  <c r="B301"/>
  <c r="M299"/>
  <c r="M298"/>
  <c r="D297"/>
  <c r="B296"/>
  <c r="M294"/>
  <c r="D293"/>
  <c r="B292"/>
  <c r="M290"/>
  <c r="D289"/>
  <c r="C288"/>
  <c r="A287"/>
  <c r="E285"/>
  <c r="C284"/>
  <c r="A283"/>
  <c r="L281"/>
  <c r="D280"/>
  <c r="B279"/>
  <c r="M277"/>
  <c r="D276"/>
  <c r="B275"/>
  <c r="G274"/>
  <c r="F273"/>
  <c r="D272"/>
  <c r="B271"/>
  <c r="M269"/>
  <c r="D268"/>
  <c r="B267"/>
  <c r="M265"/>
  <c r="A265"/>
  <c r="M263"/>
  <c r="G262"/>
  <c r="I261"/>
  <c r="A261"/>
  <c r="M259"/>
  <c r="I258"/>
  <c r="K257"/>
  <c r="C257"/>
  <c r="B256"/>
  <c r="B255"/>
  <c r="A254"/>
  <c r="M252"/>
  <c r="G251"/>
  <c r="E250"/>
  <c r="D249"/>
  <c r="C248"/>
  <c r="B247"/>
  <c r="A246"/>
  <c r="M244"/>
  <c r="J243"/>
  <c r="H242"/>
  <c r="M241"/>
  <c r="I240"/>
  <c r="E239"/>
  <c r="D238"/>
  <c r="C237"/>
  <c r="B236"/>
  <c r="A235"/>
  <c r="M233"/>
  <c r="I232"/>
  <c r="E231"/>
  <c r="D230"/>
  <c r="C229"/>
  <c r="M540"/>
  <c r="B539"/>
  <c r="D537"/>
  <c r="A536"/>
  <c r="C534"/>
  <c r="M532"/>
  <c r="B531"/>
  <c r="D529"/>
  <c r="A528"/>
  <c r="D526"/>
  <c r="A525"/>
  <c r="C523"/>
  <c r="M521"/>
  <c r="C520"/>
  <c r="M518"/>
  <c r="B517"/>
  <c r="D515"/>
  <c r="A514"/>
  <c r="C512"/>
  <c r="M510"/>
  <c r="B509"/>
  <c r="D507"/>
  <c r="A506"/>
  <c r="C504"/>
  <c r="M502"/>
  <c r="B501"/>
  <c r="D499"/>
  <c r="A498"/>
  <c r="D496"/>
  <c r="A495"/>
  <c r="C493"/>
  <c r="M491"/>
  <c r="B490"/>
  <c r="D488"/>
  <c r="A487"/>
  <c r="C485"/>
  <c r="M483"/>
  <c r="B482"/>
  <c r="D480"/>
  <c r="A479"/>
  <c r="C477"/>
  <c r="M475"/>
  <c r="B474"/>
  <c r="D472"/>
  <c r="A471"/>
  <c r="C469"/>
  <c r="M467"/>
  <c r="B466"/>
  <c r="D464"/>
  <c r="A463"/>
  <c r="C461"/>
  <c r="M459"/>
  <c r="B458"/>
  <c r="D456"/>
  <c r="A455"/>
  <c r="C453"/>
  <c r="M451"/>
  <c r="B450"/>
  <c r="D448"/>
  <c r="A447"/>
  <c r="C445"/>
  <c r="M443"/>
  <c r="B442"/>
  <c r="E440"/>
  <c r="B439"/>
  <c r="D437"/>
  <c r="A436"/>
  <c r="C434"/>
  <c r="M432"/>
  <c r="B431"/>
  <c r="M429"/>
  <c r="B428"/>
  <c r="D426"/>
  <c r="A425"/>
  <c r="C423"/>
  <c r="M421"/>
  <c r="B420"/>
  <c r="M418"/>
  <c r="B417"/>
  <c r="D415"/>
  <c r="A414"/>
  <c r="C412"/>
  <c r="A411"/>
  <c r="C409"/>
  <c r="M407"/>
  <c r="C406"/>
  <c r="M404"/>
  <c r="B403"/>
  <c r="D401"/>
  <c r="A400"/>
  <c r="C398"/>
  <c r="M396"/>
  <c r="B395"/>
  <c r="D393"/>
  <c r="A392"/>
  <c r="C390"/>
  <c r="M388"/>
  <c r="D387"/>
  <c r="A386"/>
  <c r="C384"/>
  <c r="M382"/>
  <c r="B381"/>
  <c r="D379"/>
  <c r="A378"/>
  <c r="C376"/>
  <c r="M374"/>
  <c r="B373"/>
  <c r="E371"/>
  <c r="C370"/>
  <c r="A369"/>
  <c r="C367"/>
  <c r="M365"/>
  <c r="B364"/>
  <c r="D362"/>
  <c r="A361"/>
  <c r="G359"/>
  <c r="C358"/>
  <c r="A357"/>
  <c r="E355"/>
  <c r="C354"/>
  <c r="A353"/>
  <c r="E351"/>
  <c r="C350"/>
  <c r="G349"/>
  <c r="E348"/>
  <c r="C347"/>
  <c r="A346"/>
  <c r="E344"/>
  <c r="C343"/>
  <c r="A342"/>
  <c r="F340"/>
  <c r="D339"/>
  <c r="B338"/>
  <c r="M336"/>
  <c r="D335"/>
  <c r="B334"/>
  <c r="D333"/>
  <c r="C332"/>
  <c r="B331"/>
  <c r="A330"/>
  <c r="M328"/>
  <c r="F327"/>
  <c r="F326"/>
  <c r="D325"/>
  <c r="C324"/>
  <c r="B323"/>
  <c r="A322"/>
  <c r="A321"/>
  <c r="M319"/>
  <c r="M318"/>
  <c r="M317"/>
  <c r="M316"/>
  <c r="M315"/>
  <c r="M314"/>
  <c r="M313"/>
  <c r="I312"/>
  <c r="E311"/>
  <c r="E310"/>
  <c r="C309"/>
  <c r="A308"/>
  <c r="E306"/>
  <c r="C305"/>
  <c r="A304"/>
  <c r="E302"/>
  <c r="C301"/>
  <c r="A300"/>
  <c r="A299"/>
  <c r="E297"/>
  <c r="C296"/>
  <c r="A295"/>
  <c r="E293"/>
  <c r="C292"/>
  <c r="A291"/>
  <c r="E289"/>
  <c r="D288"/>
  <c r="B287"/>
  <c r="M285"/>
  <c r="D284"/>
  <c r="B283"/>
  <c r="M281"/>
  <c r="E280"/>
  <c r="C279"/>
  <c r="A278"/>
  <c r="E276"/>
  <c r="C275"/>
  <c r="H274"/>
  <c r="G273"/>
  <c r="E272"/>
  <c r="C271"/>
  <c r="A270"/>
  <c r="E268"/>
  <c r="C267"/>
  <c r="A266"/>
  <c r="B265"/>
  <c r="A264"/>
  <c r="M262"/>
  <c r="J261"/>
  <c r="B261"/>
  <c r="A260"/>
  <c r="M258"/>
  <c r="L257"/>
  <c r="D257"/>
  <c r="C256"/>
  <c r="C255"/>
  <c r="B254"/>
  <c r="A253"/>
  <c r="M251"/>
  <c r="I250"/>
  <c r="E249"/>
  <c r="D248"/>
  <c r="C247"/>
  <c r="B246"/>
  <c r="A245"/>
  <c r="M243"/>
  <c r="I242"/>
  <c r="A242"/>
  <c r="M240"/>
  <c r="I239"/>
  <c r="E238"/>
  <c r="D237"/>
  <c r="C236"/>
  <c r="B235"/>
  <c r="A234"/>
  <c r="M232"/>
  <c r="F231"/>
  <c r="E230"/>
  <c r="D229"/>
  <c r="M541"/>
  <c r="C539"/>
  <c r="M537"/>
  <c r="B536"/>
  <c r="D534"/>
  <c r="A533"/>
  <c r="C531"/>
  <c r="M529"/>
  <c r="B528"/>
  <c r="M526"/>
  <c r="B525"/>
  <c r="D523"/>
  <c r="A522"/>
  <c r="D520"/>
  <c r="A519"/>
  <c r="C517"/>
  <c r="M515"/>
  <c r="B514"/>
  <c r="D512"/>
  <c r="A511"/>
  <c r="C509"/>
  <c r="M507"/>
  <c r="B506"/>
  <c r="D504"/>
  <c r="A503"/>
  <c r="C501"/>
  <c r="M499"/>
  <c r="B498"/>
  <c r="E496"/>
  <c r="B495"/>
  <c r="D493"/>
  <c r="A492"/>
  <c r="C490"/>
  <c r="M488"/>
  <c r="B487"/>
  <c r="D485"/>
  <c r="A484"/>
  <c r="C482"/>
  <c r="M480"/>
  <c r="B479"/>
  <c r="D477"/>
  <c r="A476"/>
  <c r="C474"/>
  <c r="M472"/>
  <c r="B471"/>
  <c r="D469"/>
  <c r="A468"/>
  <c r="C466"/>
  <c r="M464"/>
  <c r="B463"/>
  <c r="D461"/>
  <c r="A460"/>
  <c r="C458"/>
  <c r="M456"/>
  <c r="B455"/>
  <c r="D453"/>
  <c r="A452"/>
  <c r="C450"/>
  <c r="M448"/>
  <c r="B447"/>
  <c r="D445"/>
  <c r="A444"/>
  <c r="C442"/>
  <c r="M440"/>
  <c r="C439"/>
  <c r="M437"/>
  <c r="B436"/>
  <c r="D434"/>
  <c r="A433"/>
  <c r="C431"/>
  <c r="A430"/>
  <c r="C428"/>
  <c r="M426"/>
  <c r="B425"/>
  <c r="D423"/>
  <c r="A422"/>
  <c r="C420"/>
  <c r="A419"/>
  <c r="C417"/>
  <c r="M415"/>
  <c r="B414"/>
  <c r="D412"/>
  <c r="B411"/>
  <c r="D409"/>
  <c r="A408"/>
  <c r="D406"/>
  <c r="A405"/>
  <c r="C403"/>
  <c r="M401"/>
  <c r="B400"/>
  <c r="D398"/>
  <c r="A397"/>
  <c r="C395"/>
  <c r="M393"/>
  <c r="B392"/>
  <c r="D390"/>
  <c r="A389"/>
  <c r="E387"/>
  <c r="B386"/>
  <c r="D384"/>
  <c r="A383"/>
  <c r="C381"/>
  <c r="M379"/>
  <c r="B378"/>
  <c r="D376"/>
  <c r="A375"/>
  <c r="C373"/>
  <c r="M371"/>
  <c r="D370"/>
  <c r="B369"/>
  <c r="D367"/>
  <c r="A366"/>
  <c r="C364"/>
  <c r="M362"/>
  <c r="B361"/>
  <c r="M359"/>
  <c r="D358"/>
  <c r="B357"/>
  <c r="M355"/>
  <c r="D354"/>
  <c r="B353"/>
  <c r="M351"/>
  <c r="D350"/>
  <c r="H349"/>
  <c r="M348"/>
  <c r="D347"/>
  <c r="B346"/>
  <c r="M344"/>
  <c r="D343"/>
  <c r="B342"/>
  <c r="M340"/>
  <c r="E339"/>
  <c r="C338"/>
  <c r="A337"/>
  <c r="F335"/>
  <c r="C334"/>
  <c r="E333"/>
  <c r="D332"/>
  <c r="C331"/>
  <c r="B330"/>
  <c r="A329"/>
  <c r="M327"/>
  <c r="I326"/>
  <c r="E325"/>
  <c r="D324"/>
  <c r="C323"/>
  <c r="B322"/>
  <c r="B321"/>
  <c r="A320"/>
  <c r="A319"/>
  <c r="A318"/>
  <c r="A317"/>
  <c r="A316"/>
  <c r="A315"/>
  <c r="A314"/>
  <c r="M312"/>
  <c r="M311"/>
  <c r="F310"/>
  <c r="D309"/>
  <c r="B308"/>
  <c r="M306"/>
  <c r="D305"/>
  <c r="B304"/>
  <c r="M302"/>
  <c r="D301"/>
  <c r="B300"/>
  <c r="B299"/>
  <c r="M297"/>
  <c r="D296"/>
  <c r="B295"/>
  <c r="M293"/>
  <c r="D292"/>
  <c r="B291"/>
  <c r="M289"/>
  <c r="F288"/>
  <c r="C287"/>
  <c r="A286"/>
  <c r="E284"/>
  <c r="C283"/>
  <c r="A282"/>
  <c r="M280"/>
  <c r="D279"/>
  <c r="B278"/>
  <c r="M276"/>
  <c r="D275"/>
  <c r="I274"/>
  <c r="M273"/>
  <c r="M272"/>
  <c r="D271"/>
  <c r="B270"/>
  <c r="M268"/>
  <c r="D267"/>
  <c r="B266"/>
  <c r="C265"/>
  <c r="B264"/>
  <c r="A263"/>
  <c r="M261"/>
  <c r="C261"/>
  <c r="B260"/>
  <c r="A259"/>
  <c r="M257"/>
  <c r="E257"/>
  <c r="D256"/>
  <c r="D255"/>
  <c r="C254"/>
  <c r="B253"/>
  <c r="A252"/>
  <c r="M250"/>
  <c r="F249"/>
  <c r="E248"/>
  <c r="D247"/>
  <c r="C246"/>
  <c r="B245"/>
  <c r="A244"/>
  <c r="M242"/>
  <c r="B242"/>
  <c r="A241"/>
  <c r="M239"/>
  <c r="I238"/>
  <c r="F237"/>
  <c r="D236"/>
  <c r="C235"/>
  <c r="B234"/>
  <c r="A233"/>
  <c r="M231"/>
  <c r="F230"/>
  <c r="E229"/>
  <c r="D228"/>
  <c r="C227"/>
  <c r="B226"/>
  <c r="B225"/>
  <c r="A224"/>
  <c r="M222"/>
  <c r="F221"/>
  <c r="M542"/>
  <c r="M543"/>
  <c r="M539"/>
  <c r="B538"/>
  <c r="D536"/>
  <c r="A535"/>
  <c r="C533"/>
  <c r="M531"/>
  <c r="B530"/>
  <c r="D528"/>
  <c r="B527"/>
  <c r="D525"/>
  <c r="A524"/>
  <c r="C522"/>
  <c r="A521"/>
  <c r="C519"/>
  <c r="M517"/>
  <c r="B516"/>
  <c r="D514"/>
  <c r="A513"/>
  <c r="C511"/>
  <c r="M509"/>
  <c r="B508"/>
  <c r="D506"/>
  <c r="A505"/>
  <c r="C503"/>
  <c r="M501"/>
  <c r="B500"/>
  <c r="D498"/>
  <c r="A497"/>
  <c r="D495"/>
  <c r="A494"/>
  <c r="C492"/>
  <c r="M490"/>
  <c r="B489"/>
  <c r="D487"/>
  <c r="A486"/>
  <c r="C484"/>
  <c r="M482"/>
  <c r="B481"/>
  <c r="D479"/>
  <c r="A478"/>
  <c r="C476"/>
  <c r="M474"/>
  <c r="B473"/>
  <c r="D471"/>
  <c r="A470"/>
  <c r="C468"/>
  <c r="M466"/>
  <c r="B465"/>
  <c r="D463"/>
  <c r="A462"/>
  <c r="C460"/>
  <c r="M458"/>
  <c r="B457"/>
  <c r="D455"/>
  <c r="A454"/>
  <c r="C452"/>
  <c r="M450"/>
  <c r="B449"/>
  <c r="D447"/>
  <c r="A446"/>
  <c r="C444"/>
  <c r="M442"/>
  <c r="B441"/>
  <c r="M439"/>
  <c r="B438"/>
  <c r="D436"/>
  <c r="A435"/>
  <c r="C433"/>
  <c r="M431"/>
  <c r="C430"/>
  <c r="M428"/>
  <c r="B427"/>
  <c r="D425"/>
  <c r="A424"/>
  <c r="C422"/>
  <c r="M420"/>
  <c r="C419"/>
  <c r="M417"/>
  <c r="B416"/>
  <c r="D414"/>
  <c r="A413"/>
  <c r="D411"/>
  <c r="A410"/>
  <c r="C408"/>
  <c r="A407"/>
  <c r="C405"/>
  <c r="M403"/>
  <c r="B402"/>
  <c r="D400"/>
  <c r="A399"/>
  <c r="C397"/>
  <c r="M395"/>
  <c r="B394"/>
  <c r="D392"/>
  <c r="A391"/>
  <c r="C389"/>
  <c r="A388"/>
  <c r="D386"/>
  <c r="A385"/>
  <c r="C383"/>
  <c r="M381"/>
  <c r="B380"/>
  <c r="D378"/>
  <c r="A377"/>
  <c r="C375"/>
  <c r="M373"/>
  <c r="B372"/>
  <c r="M370"/>
  <c r="D369"/>
  <c r="A368"/>
  <c r="C366"/>
  <c r="M364"/>
  <c r="B363"/>
  <c r="D361"/>
  <c r="B360"/>
  <c r="M358"/>
  <c r="D357"/>
  <c r="B356"/>
  <c r="M354"/>
  <c r="D353"/>
  <c r="B352"/>
  <c r="M350"/>
  <c r="J349"/>
  <c r="B349"/>
  <c r="M347"/>
  <c r="D346"/>
  <c r="B345"/>
  <c r="M343"/>
  <c r="D342"/>
  <c r="B341"/>
  <c r="M339"/>
  <c r="F338"/>
  <c r="C337"/>
  <c r="A336"/>
  <c r="F334"/>
  <c r="G333"/>
  <c r="I332"/>
  <c r="E331"/>
  <c r="D330"/>
  <c r="C329"/>
  <c r="B328"/>
  <c r="A327"/>
  <c r="M325"/>
  <c r="F324"/>
  <c r="E323"/>
  <c r="D322"/>
  <c r="D321"/>
  <c r="C320"/>
  <c r="C319"/>
  <c r="C318"/>
  <c r="C317"/>
  <c r="C316"/>
  <c r="C315"/>
  <c r="C314"/>
  <c r="B313"/>
  <c r="B312"/>
  <c r="M310"/>
  <c r="M309"/>
  <c r="D308"/>
  <c r="B307"/>
  <c r="M305"/>
  <c r="D304"/>
  <c r="B303"/>
  <c r="M301"/>
  <c r="D300"/>
  <c r="D299"/>
  <c r="B298"/>
  <c r="M296"/>
  <c r="D295"/>
  <c r="B294"/>
  <c r="M292"/>
  <c r="D291"/>
  <c r="B290"/>
  <c r="M288"/>
  <c r="E287"/>
  <c r="C286"/>
  <c r="A285"/>
  <c r="E283"/>
  <c r="C282"/>
  <c r="B281"/>
  <c r="M279"/>
  <c r="D278"/>
  <c r="B277"/>
  <c r="M275"/>
  <c r="K274"/>
  <c r="B274"/>
  <c r="B273"/>
  <c r="M271"/>
  <c r="D270"/>
  <c r="B269"/>
  <c r="M267"/>
  <c r="D266"/>
  <c r="E265"/>
  <c r="D264"/>
  <c r="C263"/>
  <c r="B262"/>
  <c r="E261"/>
  <c r="D260"/>
  <c r="C259"/>
  <c r="B258"/>
  <c r="G257"/>
  <c r="F256"/>
  <c r="F255"/>
  <c r="E254"/>
  <c r="D253"/>
  <c r="C252"/>
  <c r="B251"/>
  <c r="A250"/>
  <c r="M248"/>
  <c r="G247"/>
  <c r="E246"/>
  <c r="D245"/>
  <c r="C244"/>
  <c r="B243"/>
  <c r="D242"/>
  <c r="C241"/>
  <c r="B240"/>
  <c r="A239"/>
  <c r="M237"/>
  <c r="H236"/>
  <c r="E235"/>
  <c r="D234"/>
  <c r="C233"/>
  <c r="B232"/>
  <c r="A231"/>
  <c r="M229"/>
  <c r="F228"/>
  <c r="E227"/>
  <c r="D226"/>
  <c r="D225"/>
  <c r="C224"/>
  <c r="B223"/>
  <c r="A222"/>
  <c r="M220"/>
  <c r="F219"/>
  <c r="E218"/>
  <c r="D217"/>
  <c r="C216"/>
  <c r="C215"/>
  <c r="B214"/>
  <c r="A213"/>
  <c r="M211"/>
  <c r="A211"/>
  <c r="M209"/>
  <c r="F208"/>
  <c r="E207"/>
  <c r="I206"/>
  <c r="M205"/>
  <c r="F204"/>
  <c r="E203"/>
  <c r="D202"/>
  <c r="C201"/>
  <c r="E200"/>
  <c r="D199"/>
  <c r="C198"/>
  <c r="C528"/>
  <c r="A516"/>
  <c r="B503"/>
  <c r="D490"/>
  <c r="M477"/>
  <c r="A465"/>
  <c r="B452"/>
  <c r="D439"/>
  <c r="A427"/>
  <c r="C414"/>
  <c r="A402"/>
  <c r="B389"/>
  <c r="M376"/>
  <c r="D364"/>
  <c r="C353"/>
  <c r="F343"/>
  <c r="F333"/>
  <c r="E324"/>
  <c r="B316"/>
  <c r="A307"/>
  <c r="E296"/>
  <c r="B286"/>
  <c r="E275"/>
  <c r="C266"/>
  <c r="A258"/>
  <c r="M249"/>
  <c r="B241"/>
  <c r="A232"/>
  <c r="B227"/>
  <c r="A225"/>
  <c r="F222"/>
  <c r="E220"/>
  <c r="B219"/>
  <c r="F217"/>
  <c r="A216"/>
  <c r="F214"/>
  <c r="C213"/>
  <c r="H211"/>
  <c r="D210"/>
  <c r="A209"/>
  <c r="C207"/>
  <c r="D206"/>
  <c r="A205"/>
  <c r="C203"/>
  <c r="M201"/>
  <c r="G200"/>
  <c r="B199"/>
  <c r="I197"/>
  <c r="E196"/>
  <c r="E195"/>
  <c r="D194"/>
  <c r="C193"/>
  <c r="B192"/>
  <c r="A191"/>
  <c r="M189"/>
  <c r="F188"/>
  <c r="G187"/>
  <c r="F186"/>
  <c r="F185"/>
  <c r="E184"/>
  <c r="D183"/>
  <c r="E182"/>
  <c r="I181"/>
  <c r="A181"/>
  <c r="A180"/>
  <c r="A179"/>
  <c r="A178"/>
  <c r="A177"/>
  <c r="A176"/>
  <c r="A175"/>
  <c r="M173"/>
  <c r="M172"/>
  <c r="M171"/>
  <c r="M170"/>
  <c r="M169"/>
  <c r="M168"/>
  <c r="M167"/>
  <c r="M166"/>
  <c r="M165"/>
  <c r="M164"/>
  <c r="M163"/>
  <c r="A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E144"/>
  <c r="F143"/>
  <c r="J142"/>
  <c r="A142"/>
  <c r="B141"/>
  <c r="C140"/>
  <c r="D139"/>
  <c r="F138"/>
  <c r="I137"/>
  <c r="M136"/>
  <c r="N135"/>
  <c r="A135"/>
  <c r="C134"/>
  <c r="D133"/>
  <c r="D132"/>
  <c r="F131"/>
  <c r="I130"/>
  <c r="M129"/>
  <c r="B129"/>
  <c r="C128"/>
  <c r="D127"/>
  <c r="G126"/>
  <c r="M125"/>
  <c r="B125"/>
  <c r="D124"/>
  <c r="G123"/>
  <c r="M122"/>
  <c r="A122"/>
  <c r="A121"/>
  <c r="A120"/>
  <c r="C119"/>
  <c r="E118"/>
  <c r="F117"/>
  <c r="I116"/>
  <c r="M115"/>
  <c r="N114"/>
  <c r="C114"/>
  <c r="C113"/>
  <c r="C112"/>
  <c r="I111"/>
  <c r="A111"/>
  <c r="B110"/>
  <c r="F109"/>
  <c r="G108"/>
  <c r="M107"/>
  <c r="N106"/>
  <c r="B106"/>
  <c r="D105"/>
  <c r="F104"/>
  <c r="K103"/>
  <c r="A103"/>
  <c r="B102"/>
  <c r="C101"/>
  <c r="D100"/>
  <c r="F99"/>
  <c r="I98"/>
  <c r="M97"/>
  <c r="N96"/>
  <c r="A96"/>
  <c r="B95"/>
  <c r="E94"/>
  <c r="G93"/>
  <c r="M92"/>
  <c r="N91"/>
  <c r="B91"/>
  <c r="C90"/>
  <c r="E89"/>
  <c r="G88"/>
  <c r="M87"/>
  <c r="B87"/>
  <c r="C86"/>
  <c r="D85"/>
  <c r="F84"/>
  <c r="I83"/>
  <c r="M82"/>
  <c r="N81"/>
  <c r="A81"/>
  <c r="B80"/>
  <c r="D79"/>
  <c r="E78"/>
  <c r="G77"/>
  <c r="G76"/>
  <c r="M75"/>
  <c r="A75"/>
  <c r="C74"/>
  <c r="D73"/>
  <c r="F72"/>
  <c r="I71"/>
  <c r="N70"/>
  <c r="B70"/>
  <c r="D69"/>
  <c r="G68"/>
  <c r="M67"/>
  <c r="A67"/>
  <c r="C66"/>
  <c r="E65"/>
  <c r="I64"/>
  <c r="A64"/>
  <c r="D63"/>
  <c r="G62"/>
  <c r="M61"/>
  <c r="A61"/>
  <c r="D60"/>
  <c r="I59"/>
  <c r="N58"/>
  <c r="D58"/>
  <c r="F57"/>
  <c r="L56"/>
  <c r="N55"/>
  <c r="D55"/>
  <c r="H54"/>
  <c r="M53"/>
  <c r="C53"/>
  <c r="F52"/>
  <c r="I51"/>
  <c r="N50"/>
  <c r="C50"/>
  <c r="F49"/>
  <c r="I48"/>
  <c r="M47"/>
  <c r="B47"/>
  <c r="E46"/>
  <c r="H45"/>
  <c r="N44"/>
  <c r="C44"/>
  <c r="F43"/>
  <c r="I42"/>
  <c r="A42"/>
  <c r="C41"/>
  <c r="H40"/>
  <c r="N39"/>
  <c r="B39"/>
  <c r="E38"/>
  <c r="J37"/>
  <c r="A37"/>
  <c r="C36"/>
  <c r="E35"/>
  <c r="K34"/>
  <c r="A34"/>
  <c r="C33"/>
  <c r="H32"/>
  <c r="N31"/>
  <c r="D31"/>
  <c r="I30"/>
  <c r="A30"/>
  <c r="G29"/>
  <c r="M28"/>
  <c r="B28"/>
  <c r="D27"/>
  <c r="F26"/>
  <c r="H25"/>
  <c r="N24"/>
  <c r="F24"/>
  <c r="I23"/>
  <c r="A23"/>
  <c r="D22"/>
  <c r="A530"/>
  <c r="D517"/>
  <c r="M504"/>
  <c r="B492"/>
  <c r="C479"/>
  <c r="D466"/>
  <c r="M453"/>
  <c r="A441"/>
  <c r="D428"/>
  <c r="A416"/>
  <c r="D403"/>
  <c r="M390"/>
  <c r="C378"/>
  <c r="B366"/>
  <c r="E354"/>
  <c r="A345"/>
  <c r="D334"/>
  <c r="F325"/>
  <c r="B317"/>
  <c r="C308"/>
  <c r="A298"/>
  <c r="D287"/>
  <c r="A277"/>
  <c r="E267"/>
  <c r="B259"/>
  <c r="A251"/>
  <c r="C242"/>
  <c r="B233"/>
  <c r="D227"/>
  <c r="C225"/>
  <c r="A223"/>
  <c r="F220"/>
  <c r="C219"/>
  <c r="M217"/>
  <c r="B216"/>
  <c r="M214"/>
  <c r="D213"/>
  <c r="I211"/>
  <c r="E210"/>
  <c r="B209"/>
  <c r="D207"/>
  <c r="E206"/>
  <c r="B205"/>
  <c r="D203"/>
  <c r="A202"/>
  <c r="H200"/>
  <c r="C199"/>
  <c r="M197"/>
  <c r="F196"/>
  <c r="F195"/>
  <c r="E194"/>
  <c r="D193"/>
  <c r="C192"/>
  <c r="B191"/>
  <c r="A190"/>
  <c r="M188"/>
  <c r="I187"/>
  <c r="M186"/>
  <c r="G185"/>
  <c r="F184"/>
  <c r="E183"/>
  <c r="G182"/>
  <c r="K181"/>
  <c r="B181"/>
  <c r="B180"/>
  <c r="B179"/>
  <c r="B178"/>
  <c r="B177"/>
  <c r="B176"/>
  <c r="B175"/>
  <c r="A174"/>
  <c r="A173"/>
  <c r="A172"/>
  <c r="A171"/>
  <c r="A170"/>
  <c r="A169"/>
  <c r="A168"/>
  <c r="A167"/>
  <c r="A166"/>
  <c r="A165"/>
  <c r="A164"/>
  <c r="B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F144"/>
  <c r="I143"/>
  <c r="M142"/>
  <c r="B142"/>
  <c r="C141"/>
  <c r="D140"/>
  <c r="E139"/>
  <c r="I138"/>
  <c r="M137"/>
  <c r="N136"/>
  <c r="A136"/>
  <c r="B135"/>
  <c r="D134"/>
  <c r="F133"/>
  <c r="E132"/>
  <c r="I131"/>
  <c r="M130"/>
  <c r="N129"/>
  <c r="C129"/>
  <c r="D128"/>
  <c r="E127"/>
  <c r="I126"/>
  <c r="N125"/>
  <c r="C125"/>
  <c r="E124"/>
  <c r="I123"/>
  <c r="N122"/>
  <c r="B122"/>
  <c r="B121"/>
  <c r="B120"/>
  <c r="D119"/>
  <c r="F118"/>
  <c r="I117"/>
  <c r="M116"/>
  <c r="N115"/>
  <c r="A115"/>
  <c r="D114"/>
  <c r="D113"/>
  <c r="D112"/>
  <c r="J111"/>
  <c r="B111"/>
  <c r="C110"/>
  <c r="G109"/>
  <c r="M108"/>
  <c r="N107"/>
  <c r="A107"/>
  <c r="C106"/>
  <c r="E105"/>
  <c r="G104"/>
  <c r="M103"/>
  <c r="B103"/>
  <c r="C102"/>
  <c r="D101"/>
  <c r="E100"/>
  <c r="G99"/>
  <c r="M98"/>
  <c r="N97"/>
  <c r="A97"/>
  <c r="B96"/>
  <c r="C95"/>
  <c r="F94"/>
  <c r="I93"/>
  <c r="N92"/>
  <c r="A92"/>
  <c r="C91"/>
  <c r="D90"/>
  <c r="F89"/>
  <c r="I88"/>
  <c r="N87"/>
  <c r="C87"/>
  <c r="D86"/>
  <c r="E85"/>
  <c r="G84"/>
  <c r="M83"/>
  <c r="N82"/>
  <c r="A82"/>
  <c r="B81"/>
  <c r="C80"/>
  <c r="E79"/>
  <c r="F78"/>
  <c r="I77"/>
  <c r="M76"/>
  <c r="N75"/>
  <c r="B75"/>
  <c r="D74"/>
  <c r="E73"/>
  <c r="G72"/>
  <c r="M71"/>
  <c r="A71"/>
  <c r="C70"/>
  <c r="E69"/>
  <c r="I68"/>
  <c r="N67"/>
  <c r="B67"/>
  <c r="D66"/>
  <c r="F65"/>
  <c r="L64"/>
  <c r="B64"/>
  <c r="E63"/>
  <c r="H62"/>
  <c r="N61"/>
  <c r="B61"/>
  <c r="E60"/>
  <c r="J59"/>
  <c r="A59"/>
  <c r="E58"/>
  <c r="G57"/>
  <c r="M56"/>
  <c r="A56"/>
  <c r="E55"/>
  <c r="I54"/>
  <c r="N53"/>
  <c r="D53"/>
  <c r="G52"/>
  <c r="M51"/>
  <c r="A51"/>
  <c r="D50"/>
  <c r="G49"/>
  <c r="M48"/>
  <c r="N47"/>
  <c r="C47"/>
  <c r="F46"/>
  <c r="I45"/>
  <c r="A45"/>
  <c r="D44"/>
  <c r="G43"/>
  <c r="M42"/>
  <c r="B42"/>
  <c r="D41"/>
  <c r="I40"/>
  <c r="A40"/>
  <c r="C39"/>
  <c r="F38"/>
  <c r="L37"/>
  <c r="B37"/>
  <c r="D36"/>
  <c r="F35"/>
  <c r="L34"/>
  <c r="B34"/>
  <c r="D33"/>
  <c r="I32"/>
  <c r="A32"/>
  <c r="E31"/>
  <c r="K30"/>
  <c r="B30"/>
  <c r="H29"/>
  <c r="N28"/>
  <c r="C28"/>
  <c r="E27"/>
  <c r="G26"/>
  <c r="M25"/>
  <c r="A25"/>
  <c r="G24"/>
  <c r="M23"/>
  <c r="B23"/>
  <c r="E22"/>
  <c r="D531"/>
  <c r="B519"/>
  <c r="C506"/>
  <c r="M493"/>
  <c r="A481"/>
  <c r="B468"/>
  <c r="C455"/>
  <c r="D442"/>
  <c r="B430"/>
  <c r="D417"/>
  <c r="B405"/>
  <c r="C392"/>
  <c r="A380"/>
  <c r="M367"/>
  <c r="A356"/>
  <c r="C346"/>
  <c r="M335"/>
  <c r="M326"/>
  <c r="B318"/>
  <c r="E309"/>
  <c r="C299"/>
  <c r="I288"/>
  <c r="C278"/>
  <c r="A269"/>
  <c r="C260"/>
  <c r="B252"/>
  <c r="A243"/>
  <c r="C234"/>
  <c r="M227"/>
  <c r="G225"/>
  <c r="D223"/>
  <c r="B221"/>
  <c r="D219"/>
  <c r="A218"/>
  <c r="E216"/>
  <c r="A215"/>
  <c r="E213"/>
  <c r="B212"/>
  <c r="F210"/>
  <c r="C209"/>
  <c r="M207"/>
  <c r="F206"/>
  <c r="C205"/>
  <c r="M203"/>
  <c r="B202"/>
  <c r="I200"/>
  <c r="F199"/>
  <c r="A198"/>
  <c r="M196"/>
  <c r="G195"/>
  <c r="F194"/>
  <c r="E193"/>
  <c r="D192"/>
  <c r="C191"/>
  <c r="B190"/>
  <c r="A189"/>
  <c r="M187"/>
  <c r="A187"/>
  <c r="M185"/>
  <c r="M184"/>
  <c r="G183"/>
  <c r="I182"/>
  <c r="L181"/>
  <c r="C181"/>
  <c r="C180"/>
  <c r="C179"/>
  <c r="C178"/>
  <c r="C177"/>
  <c r="C176"/>
  <c r="C175"/>
  <c r="B174"/>
  <c r="B173"/>
  <c r="B172"/>
  <c r="B171"/>
  <c r="B170"/>
  <c r="B169"/>
  <c r="B168"/>
  <c r="B167"/>
  <c r="B166"/>
  <c r="B165"/>
  <c r="B164"/>
  <c r="C163"/>
  <c r="E162"/>
  <c r="E161"/>
  <c r="E160"/>
  <c r="E159"/>
  <c r="E158"/>
  <c r="F157"/>
  <c r="E156"/>
  <c r="E155"/>
  <c r="E154"/>
  <c r="E153"/>
  <c r="F152"/>
  <c r="E151"/>
  <c r="E150"/>
  <c r="E149"/>
  <c r="E148"/>
  <c r="E147"/>
  <c r="E146"/>
  <c r="E145"/>
  <c r="G144"/>
  <c r="M143"/>
  <c r="N142"/>
  <c r="C142"/>
  <c r="D141"/>
  <c r="E140"/>
  <c r="F139"/>
  <c r="K138"/>
  <c r="N137"/>
  <c r="A137"/>
  <c r="B136"/>
  <c r="C135"/>
  <c r="E134"/>
  <c r="G133"/>
  <c r="I132"/>
  <c r="K131"/>
  <c r="N130"/>
  <c r="A130"/>
  <c r="D129"/>
  <c r="E128"/>
  <c r="F127"/>
  <c r="L126"/>
  <c r="A126"/>
  <c r="D125"/>
  <c r="F124"/>
  <c r="J123"/>
  <c r="A123"/>
  <c r="C122"/>
  <c r="C121"/>
  <c r="C120"/>
  <c r="E119"/>
  <c r="G118"/>
  <c r="M117"/>
  <c r="N116"/>
  <c r="A116"/>
  <c r="B115"/>
  <c r="E114"/>
  <c r="E113"/>
  <c r="E112"/>
  <c r="K111"/>
  <c r="C111"/>
  <c r="D110"/>
  <c r="H109"/>
  <c r="N108"/>
  <c r="A108"/>
  <c r="B107"/>
  <c r="D106"/>
  <c r="F105"/>
  <c r="I104"/>
  <c r="N103"/>
  <c r="C103"/>
  <c r="D102"/>
  <c r="E101"/>
  <c r="H100"/>
  <c r="I99"/>
  <c r="N98"/>
  <c r="A98"/>
  <c r="B97"/>
  <c r="C96"/>
  <c r="D95"/>
  <c r="G94"/>
  <c r="M93"/>
  <c r="A93"/>
  <c r="B92"/>
  <c r="D91"/>
  <c r="E90"/>
  <c r="G89"/>
  <c r="M88"/>
  <c r="A88"/>
  <c r="D87"/>
  <c r="E86"/>
  <c r="F85"/>
  <c r="I84"/>
  <c r="N83"/>
  <c r="A83"/>
  <c r="B82"/>
  <c r="C81"/>
  <c r="D80"/>
  <c r="F79"/>
  <c r="G78"/>
  <c r="M77"/>
  <c r="N76"/>
  <c r="A76"/>
  <c r="C75"/>
  <c r="E74"/>
  <c r="F73"/>
  <c r="I72"/>
  <c r="N71"/>
  <c r="B71"/>
  <c r="D70"/>
  <c r="F69"/>
  <c r="J68"/>
  <c r="A68"/>
  <c r="C67"/>
  <c r="E66"/>
  <c r="G65"/>
  <c r="M64"/>
  <c r="C64"/>
  <c r="F63"/>
  <c r="I62"/>
  <c r="A62"/>
  <c r="C61"/>
  <c r="F60"/>
  <c r="K59"/>
  <c r="B59"/>
  <c r="F58"/>
  <c r="I57"/>
  <c r="N56"/>
  <c r="B56"/>
  <c r="F55"/>
  <c r="L54"/>
  <c r="A54"/>
  <c r="E53"/>
  <c r="H52"/>
  <c r="N51"/>
  <c r="B51"/>
  <c r="E50"/>
  <c r="H49"/>
  <c r="N48"/>
  <c r="A48"/>
  <c r="D47"/>
  <c r="G46"/>
  <c r="M45"/>
  <c r="B45"/>
  <c r="E44"/>
  <c r="H43"/>
  <c r="N42"/>
  <c r="C42"/>
  <c r="E41"/>
  <c r="K40"/>
  <c r="B40"/>
  <c r="D39"/>
  <c r="G38"/>
  <c r="M37"/>
  <c r="C37"/>
  <c r="E36"/>
  <c r="G35"/>
  <c r="M34"/>
  <c r="C34"/>
  <c r="E33"/>
  <c r="K32"/>
  <c r="B32"/>
  <c r="F31"/>
  <c r="L30"/>
  <c r="C30"/>
  <c r="I29"/>
  <c r="A29"/>
  <c r="D28"/>
  <c r="F27"/>
  <c r="I26"/>
  <c r="N25"/>
  <c r="B25"/>
  <c r="H24"/>
  <c r="N23"/>
  <c r="C23"/>
  <c r="F22"/>
  <c r="B533"/>
  <c r="M520"/>
  <c r="A508"/>
  <c r="C495"/>
  <c r="D482"/>
  <c r="M469"/>
  <c r="A457"/>
  <c r="B444"/>
  <c r="D431"/>
  <c r="B419"/>
  <c r="M406"/>
  <c r="A394"/>
  <c r="D381"/>
  <c r="C369"/>
  <c r="C357"/>
  <c r="E347"/>
  <c r="B337"/>
  <c r="A328"/>
  <c r="B319"/>
  <c r="I310"/>
  <c r="C300"/>
  <c r="A290"/>
  <c r="E279"/>
  <c r="C270"/>
  <c r="D261"/>
  <c r="C253"/>
  <c r="B244"/>
  <c r="D235"/>
  <c r="B228"/>
  <c r="M225"/>
  <c r="F223"/>
  <c r="D221"/>
  <c r="E219"/>
  <c r="B218"/>
  <c r="F216"/>
  <c r="B215"/>
  <c r="F213"/>
  <c r="C212"/>
  <c r="M210"/>
  <c r="D209"/>
  <c r="A208"/>
  <c r="G206"/>
  <c r="D205"/>
  <c r="A204"/>
  <c r="C202"/>
  <c r="M200"/>
  <c r="M199"/>
  <c r="B198"/>
  <c r="A197"/>
  <c r="M195"/>
  <c r="M194"/>
  <c r="F193"/>
  <c r="E192"/>
  <c r="D191"/>
  <c r="C190"/>
  <c r="B189"/>
  <c r="A188"/>
  <c r="B187"/>
  <c r="A186"/>
  <c r="A185"/>
  <c r="M183"/>
  <c r="K182"/>
  <c r="M181"/>
  <c r="D181"/>
  <c r="D180"/>
  <c r="D179"/>
  <c r="D178"/>
  <c r="D177"/>
  <c r="D176"/>
  <c r="D175"/>
  <c r="C174"/>
  <c r="C173"/>
  <c r="C172"/>
  <c r="C171"/>
  <c r="C170"/>
  <c r="C169"/>
  <c r="C168"/>
  <c r="C167"/>
  <c r="C166"/>
  <c r="C165"/>
  <c r="C164"/>
  <c r="D163"/>
  <c r="F162"/>
  <c r="F161"/>
  <c r="F160"/>
  <c r="F159"/>
  <c r="F158"/>
  <c r="H157"/>
  <c r="F156"/>
  <c r="F155"/>
  <c r="F154"/>
  <c r="F153"/>
  <c r="G152"/>
  <c r="F151"/>
  <c r="F150"/>
  <c r="G149"/>
  <c r="F148"/>
  <c r="F147"/>
  <c r="F146"/>
  <c r="F145"/>
  <c r="I144"/>
  <c r="N143"/>
  <c r="A143"/>
  <c r="D142"/>
  <c r="E141"/>
  <c r="F140"/>
  <c r="G139"/>
  <c r="M138"/>
  <c r="A138"/>
  <c r="B137"/>
  <c r="C136"/>
  <c r="D135"/>
  <c r="F134"/>
  <c r="I133"/>
  <c r="M132"/>
  <c r="M131"/>
  <c r="A131"/>
  <c r="B130"/>
  <c r="E129"/>
  <c r="H128"/>
  <c r="I127"/>
  <c r="M126"/>
  <c r="B126"/>
  <c r="E125"/>
  <c r="G124"/>
  <c r="M123"/>
  <c r="B123"/>
  <c r="D122"/>
  <c r="D121"/>
  <c r="D120"/>
  <c r="F119"/>
  <c r="I118"/>
  <c r="N117"/>
  <c r="A117"/>
  <c r="B116"/>
  <c r="C115"/>
  <c r="F114"/>
  <c r="F113"/>
  <c r="F112"/>
  <c r="L111"/>
  <c r="D111"/>
  <c r="E110"/>
  <c r="I109"/>
  <c r="A109"/>
  <c r="B108"/>
  <c r="C107"/>
  <c r="E106"/>
  <c r="G105"/>
  <c r="M104"/>
  <c r="A104"/>
  <c r="D103"/>
  <c r="E102"/>
  <c r="F101"/>
  <c r="J100"/>
  <c r="M99"/>
  <c r="A99"/>
  <c r="B98"/>
  <c r="C97"/>
  <c r="D96"/>
  <c r="E95"/>
  <c r="H94"/>
  <c r="N93"/>
  <c r="B93"/>
  <c r="C92"/>
  <c r="E91"/>
  <c r="F90"/>
  <c r="I89"/>
  <c r="N88"/>
  <c r="B88"/>
  <c r="E87"/>
  <c r="F86"/>
  <c r="H85"/>
  <c r="M84"/>
  <c r="A84"/>
  <c r="B83"/>
  <c r="C82"/>
  <c r="D81"/>
  <c r="E80"/>
  <c r="G79"/>
  <c r="M78"/>
  <c r="N77"/>
  <c r="A77"/>
  <c r="B76"/>
  <c r="D75"/>
  <c r="F74"/>
  <c r="I73"/>
  <c r="M72"/>
  <c r="A72"/>
  <c r="C71"/>
  <c r="E70"/>
  <c r="G69"/>
  <c r="M68"/>
  <c r="B68"/>
  <c r="D67"/>
  <c r="F66"/>
  <c r="I65"/>
  <c r="N64"/>
  <c r="D64"/>
  <c r="G63"/>
  <c r="M62"/>
  <c r="B62"/>
  <c r="D61"/>
  <c r="G60"/>
  <c r="M59"/>
  <c r="C59"/>
  <c r="G58"/>
  <c r="M57"/>
  <c r="A57"/>
  <c r="C56"/>
  <c r="G55"/>
  <c r="M54"/>
  <c r="B54"/>
  <c r="F53"/>
  <c r="I52"/>
  <c r="A52"/>
  <c r="C51"/>
  <c r="F50"/>
  <c r="I49"/>
  <c r="A49"/>
  <c r="B48"/>
  <c r="E47"/>
  <c r="H46"/>
  <c r="N45"/>
  <c r="C45"/>
  <c r="F44"/>
  <c r="I43"/>
  <c r="A43"/>
  <c r="D42"/>
  <c r="F41"/>
  <c r="L40"/>
  <c r="C40"/>
  <c r="E39"/>
  <c r="I38"/>
  <c r="N37"/>
  <c r="D37"/>
  <c r="F36"/>
  <c r="I35"/>
  <c r="N34"/>
  <c r="D34"/>
  <c r="F33"/>
  <c r="L32"/>
  <c r="C32"/>
  <c r="G31"/>
  <c r="M30"/>
  <c r="D30"/>
  <c r="J29"/>
  <c r="B29"/>
  <c r="E28"/>
  <c r="I27"/>
  <c r="M26"/>
  <c r="A26"/>
  <c r="C25"/>
  <c r="I24"/>
  <c r="A24"/>
  <c r="D23"/>
  <c r="H22"/>
  <c r="M534"/>
  <c r="B522"/>
  <c r="D509"/>
  <c r="M496"/>
  <c r="B484"/>
  <c r="C471"/>
  <c r="D458"/>
  <c r="M445"/>
  <c r="B433"/>
  <c r="D420"/>
  <c r="B408"/>
  <c r="D395"/>
  <c r="B383"/>
  <c r="E370"/>
  <c r="E358"/>
  <c r="A349"/>
  <c r="D338"/>
  <c r="B329"/>
  <c r="B320"/>
  <c r="A312"/>
  <c r="E301"/>
  <c r="C291"/>
  <c r="A281"/>
  <c r="E271"/>
  <c r="A262"/>
  <c r="D254"/>
  <c r="C245"/>
  <c r="E236"/>
  <c r="C228"/>
  <c r="A226"/>
  <c r="M223"/>
  <c r="E221"/>
  <c r="A220"/>
  <c r="C218"/>
  <c r="M216"/>
  <c r="E215"/>
  <c r="M213"/>
  <c r="D212"/>
  <c r="C211"/>
  <c r="E209"/>
  <c r="B208"/>
  <c r="K206"/>
  <c r="E205"/>
  <c r="B204"/>
  <c r="F202"/>
  <c r="A201"/>
  <c r="A200"/>
  <c r="E198"/>
  <c r="B197"/>
  <c r="A196"/>
  <c r="A195"/>
  <c r="M193"/>
  <c r="F192"/>
  <c r="E191"/>
  <c r="D190"/>
  <c r="C189"/>
  <c r="B188"/>
  <c r="C187"/>
  <c r="B186"/>
  <c r="B185"/>
  <c r="A184"/>
  <c r="M182"/>
  <c r="A182"/>
  <c r="E181"/>
  <c r="E180"/>
  <c r="E179"/>
  <c r="E178"/>
  <c r="E177"/>
  <c r="E176"/>
  <c r="E175"/>
  <c r="D174"/>
  <c r="D173"/>
  <c r="D172"/>
  <c r="D171"/>
  <c r="D170"/>
  <c r="D169"/>
  <c r="D168"/>
  <c r="D167"/>
  <c r="D166"/>
  <c r="D165"/>
  <c r="D164"/>
  <c r="E163"/>
  <c r="G162"/>
  <c r="I161"/>
  <c r="H160"/>
  <c r="G159"/>
  <c r="I158"/>
  <c r="I157"/>
  <c r="G156"/>
  <c r="I155"/>
  <c r="G154"/>
  <c r="G153"/>
  <c r="I152"/>
  <c r="I151"/>
  <c r="I150"/>
  <c r="I149"/>
  <c r="I148"/>
  <c r="I147"/>
  <c r="I146"/>
  <c r="I145"/>
  <c r="M144"/>
  <c r="A144"/>
  <c r="B143"/>
  <c r="E142"/>
  <c r="F141"/>
  <c r="I140"/>
  <c r="M139"/>
  <c r="N138"/>
  <c r="B138"/>
  <c r="C137"/>
  <c r="D136"/>
  <c r="E135"/>
  <c r="G134"/>
  <c r="M133"/>
  <c r="N132"/>
  <c r="N131"/>
  <c r="B131"/>
  <c r="C130"/>
  <c r="F129"/>
  <c r="I128"/>
  <c r="M127"/>
  <c r="N126"/>
  <c r="C126"/>
  <c r="F125"/>
  <c r="I124"/>
  <c r="N123"/>
  <c r="C123"/>
  <c r="E122"/>
  <c r="E121"/>
  <c r="E120"/>
  <c r="I119"/>
  <c r="M118"/>
  <c r="A118"/>
  <c r="B117"/>
  <c r="C116"/>
  <c r="D115"/>
  <c r="G114"/>
  <c r="M113"/>
  <c r="M112"/>
  <c r="M111"/>
  <c r="E111"/>
  <c r="F110"/>
  <c r="J109"/>
  <c r="B109"/>
  <c r="C108"/>
  <c r="D107"/>
  <c r="F106"/>
  <c r="I105"/>
  <c r="N104"/>
  <c r="B104"/>
  <c r="E103"/>
  <c r="F102"/>
  <c r="G101"/>
  <c r="M100"/>
  <c r="N99"/>
  <c r="B99"/>
  <c r="C98"/>
  <c r="D97"/>
  <c r="E96"/>
  <c r="F95"/>
  <c r="I94"/>
  <c r="A94"/>
  <c r="C93"/>
  <c r="D92"/>
  <c r="F91"/>
  <c r="I90"/>
  <c r="M89"/>
  <c r="A89"/>
  <c r="C88"/>
  <c r="F87"/>
  <c r="I86"/>
  <c r="M85"/>
  <c r="N84"/>
  <c r="B84"/>
  <c r="C83"/>
  <c r="D82"/>
  <c r="E81"/>
  <c r="F80"/>
  <c r="I79"/>
  <c r="N78"/>
  <c r="A78"/>
  <c r="B77"/>
  <c r="C76"/>
  <c r="E75"/>
  <c r="G74"/>
  <c r="M73"/>
  <c r="N72"/>
  <c r="B72"/>
  <c r="D71"/>
  <c r="F70"/>
  <c r="L69"/>
  <c r="N68"/>
  <c r="C68"/>
  <c r="E67"/>
  <c r="G66"/>
  <c r="M65"/>
  <c r="A65"/>
  <c r="E64"/>
  <c r="H63"/>
  <c r="N62"/>
  <c r="C62"/>
  <c r="E61"/>
  <c r="H60"/>
  <c r="N59"/>
  <c r="D59"/>
  <c r="H58"/>
  <c r="N57"/>
  <c r="B57"/>
  <c r="D56"/>
  <c r="H55"/>
  <c r="N54"/>
  <c r="C54"/>
  <c r="G53"/>
  <c r="M52"/>
  <c r="B52"/>
  <c r="D51"/>
  <c r="G50"/>
  <c r="M49"/>
  <c r="B49"/>
  <c r="C48"/>
  <c r="F47"/>
  <c r="I46"/>
  <c r="A46"/>
  <c r="D45"/>
  <c r="G44"/>
  <c r="M43"/>
  <c r="B43"/>
  <c r="E42"/>
  <c r="G41"/>
  <c r="M40"/>
  <c r="D40"/>
  <c r="F39"/>
  <c r="L38"/>
  <c r="A38"/>
  <c r="E37"/>
  <c r="I36"/>
  <c r="M35"/>
  <c r="A35"/>
  <c r="E34"/>
  <c r="H33"/>
  <c r="M32"/>
  <c r="D32"/>
  <c r="I31"/>
  <c r="N30"/>
  <c r="E30"/>
  <c r="K29"/>
  <c r="C29"/>
  <c r="G28"/>
  <c r="L27"/>
  <c r="N26"/>
  <c r="B26"/>
  <c r="D25"/>
  <c r="J24"/>
  <c r="B24"/>
  <c r="E23"/>
  <c r="I22"/>
  <c r="C536"/>
  <c r="M523"/>
  <c r="B511"/>
  <c r="C498"/>
  <c r="M485"/>
  <c r="A473"/>
  <c r="B460"/>
  <c r="C447"/>
  <c r="M434"/>
  <c r="B422"/>
  <c r="M409"/>
  <c r="B397"/>
  <c r="M384"/>
  <c r="A372"/>
  <c r="A360"/>
  <c r="I349"/>
  <c r="I339"/>
  <c r="C330"/>
  <c r="C321"/>
  <c r="A313"/>
  <c r="A303"/>
  <c r="E292"/>
  <c r="B282"/>
  <c r="A273"/>
  <c r="B263"/>
  <c r="E255"/>
  <c r="D246"/>
  <c r="G237"/>
  <c r="E228"/>
  <c r="C226"/>
  <c r="B224"/>
  <c r="M221"/>
  <c r="B220"/>
  <c r="D218"/>
  <c r="A217"/>
  <c r="G215"/>
  <c r="A214"/>
  <c r="E212"/>
  <c r="D211"/>
  <c r="F209"/>
  <c r="C208"/>
  <c r="M206"/>
  <c r="F205"/>
  <c r="C204"/>
  <c r="M202"/>
  <c r="B201"/>
  <c r="B200"/>
  <c r="F198"/>
  <c r="C197"/>
  <c r="B196"/>
  <c r="B195"/>
  <c r="A194"/>
  <c r="M192"/>
  <c r="F191"/>
  <c r="E190"/>
  <c r="D189"/>
  <c r="C188"/>
  <c r="D187"/>
  <c r="C186"/>
  <c r="C185"/>
  <c r="B184"/>
  <c r="A183"/>
  <c r="B182"/>
  <c r="F181"/>
  <c r="F180"/>
  <c r="F179"/>
  <c r="G178"/>
  <c r="F177"/>
  <c r="F176"/>
  <c r="G175"/>
  <c r="E174"/>
  <c r="E173"/>
  <c r="E172"/>
  <c r="E171"/>
  <c r="E170"/>
  <c r="E169"/>
  <c r="E168"/>
  <c r="E167"/>
  <c r="E166"/>
  <c r="E165"/>
  <c r="E164"/>
  <c r="F163"/>
  <c r="K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N144"/>
  <c r="B144"/>
  <c r="C143"/>
  <c r="F142"/>
  <c r="G141"/>
  <c r="M140"/>
  <c r="N139"/>
  <c r="A139"/>
  <c r="C138"/>
  <c r="D137"/>
  <c r="F136"/>
  <c r="F135"/>
  <c r="J134"/>
  <c r="N133"/>
  <c r="A133"/>
  <c r="A132"/>
  <c r="C131"/>
  <c r="D130"/>
  <c r="G129"/>
  <c r="M128"/>
  <c r="N127"/>
  <c r="A127"/>
  <c r="D126"/>
  <c r="G125"/>
  <c r="M124"/>
  <c r="A124"/>
  <c r="D123"/>
  <c r="F122"/>
  <c r="I121"/>
  <c r="L120"/>
  <c r="L119"/>
  <c r="N118"/>
  <c r="B118"/>
  <c r="C117"/>
  <c r="D116"/>
  <c r="E115"/>
  <c r="I114"/>
  <c r="N113"/>
  <c r="N112"/>
  <c r="N111"/>
  <c r="F111"/>
  <c r="G110"/>
  <c r="M109"/>
  <c r="C109"/>
  <c r="D108"/>
  <c r="E107"/>
  <c r="G106"/>
  <c r="M105"/>
  <c r="A105"/>
  <c r="C104"/>
  <c r="F103"/>
  <c r="I102"/>
  <c r="M101"/>
  <c r="N100"/>
  <c r="A100"/>
  <c r="C99"/>
  <c r="D98"/>
  <c r="F97"/>
  <c r="G96"/>
  <c r="I95"/>
  <c r="M94"/>
  <c r="B94"/>
  <c r="D93"/>
  <c r="E92"/>
  <c r="G91"/>
  <c r="M90"/>
  <c r="N89"/>
  <c r="B89"/>
  <c r="D88"/>
  <c r="G87"/>
  <c r="M86"/>
  <c r="N85"/>
  <c r="A85"/>
  <c r="C84"/>
  <c r="D83"/>
  <c r="E82"/>
  <c r="F81"/>
  <c r="I80"/>
  <c r="M79"/>
  <c r="A79"/>
  <c r="B78"/>
  <c r="C77"/>
  <c r="D76"/>
  <c r="F75"/>
  <c r="I74"/>
  <c r="N73"/>
  <c r="A73"/>
  <c r="C72"/>
  <c r="E71"/>
  <c r="G70"/>
  <c r="M69"/>
  <c r="A69"/>
  <c r="D68"/>
  <c r="F67"/>
  <c r="I66"/>
  <c r="N65"/>
  <c r="B65"/>
  <c r="F64"/>
  <c r="I63"/>
  <c r="A63"/>
  <c r="D62"/>
  <c r="F61"/>
  <c r="I60"/>
  <c r="A60"/>
  <c r="E59"/>
  <c r="I58"/>
  <c r="A58"/>
  <c r="C57"/>
  <c r="E56"/>
  <c r="I55"/>
  <c r="A55"/>
  <c r="D54"/>
  <c r="H53"/>
  <c r="N52"/>
  <c r="C52"/>
  <c r="F51"/>
  <c r="H50"/>
  <c r="N49"/>
  <c r="C49"/>
  <c r="D48"/>
  <c r="G47"/>
  <c r="M46"/>
  <c r="B46"/>
  <c r="E45"/>
  <c r="I44"/>
  <c r="N43"/>
  <c r="C43"/>
  <c r="F42"/>
  <c r="I41"/>
  <c r="N40"/>
  <c r="E40"/>
  <c r="I39"/>
  <c r="M38"/>
  <c r="B38"/>
  <c r="F37"/>
  <c r="L36"/>
  <c r="N35"/>
  <c r="B35"/>
  <c r="F34"/>
  <c r="I33"/>
  <c r="N32"/>
  <c r="E32"/>
  <c r="J31"/>
  <c r="A31"/>
  <c r="F30"/>
  <c r="L29"/>
  <c r="D29"/>
  <c r="H28"/>
  <c r="M27"/>
  <c r="A27"/>
  <c r="C26"/>
  <c r="E25"/>
  <c r="K24"/>
  <c r="C24"/>
  <c r="F23"/>
  <c r="L22"/>
  <c r="A538"/>
  <c r="C525"/>
  <c r="M512"/>
  <c r="A500"/>
  <c r="C487"/>
  <c r="D474"/>
  <c r="M461"/>
  <c r="A449"/>
  <c r="D450"/>
  <c r="M398"/>
  <c r="E350"/>
  <c r="B314"/>
  <c r="A274"/>
  <c r="M238"/>
  <c r="C222"/>
  <c r="I215"/>
  <c r="B210"/>
  <c r="D204"/>
  <c r="M198"/>
  <c r="B194"/>
  <c r="E189"/>
  <c r="D185"/>
  <c r="G181"/>
  <c r="I177"/>
  <c r="F173"/>
  <c r="F169"/>
  <c r="G165"/>
  <c r="A162"/>
  <c r="A158"/>
  <c r="A154"/>
  <c r="A150"/>
  <c r="A146"/>
  <c r="G142"/>
  <c r="B139"/>
  <c r="G135"/>
  <c r="B132"/>
  <c r="N128"/>
  <c r="I125"/>
  <c r="G122"/>
  <c r="A119"/>
  <c r="F115"/>
  <c r="A112"/>
  <c r="D109"/>
  <c r="N105"/>
  <c r="M102"/>
  <c r="D99"/>
  <c r="M95"/>
  <c r="F92"/>
  <c r="C89"/>
  <c r="A86"/>
  <c r="F82"/>
  <c r="B79"/>
  <c r="G75"/>
  <c r="D72"/>
  <c r="B69"/>
  <c r="A66"/>
  <c r="B63"/>
  <c r="B60"/>
  <c r="D57"/>
  <c r="E54"/>
  <c r="G51"/>
  <c r="E48"/>
  <c r="F45"/>
  <c r="G42"/>
  <c r="L39"/>
  <c r="M36"/>
  <c r="M33"/>
  <c r="B31"/>
  <c r="I28"/>
  <c r="F25"/>
  <c r="M22"/>
  <c r="G21"/>
  <c r="M20"/>
  <c r="C20"/>
  <c r="G19"/>
  <c r="M18"/>
  <c r="A18"/>
  <c r="D17"/>
  <c r="I16"/>
  <c r="N15"/>
  <c r="E15"/>
  <c r="K14"/>
  <c r="C14"/>
  <c r="G13"/>
  <c r="M12"/>
  <c r="C12"/>
  <c r="I11"/>
  <c r="A11"/>
  <c r="E10"/>
  <c r="H9"/>
  <c r="N8"/>
  <c r="E8"/>
  <c r="K7"/>
  <c r="C7"/>
  <c r="H6"/>
  <c r="M613" i="3"/>
  <c r="A609"/>
  <c r="C607"/>
  <c r="M605"/>
  <c r="B604"/>
  <c r="D602"/>
  <c r="A601"/>
  <c r="C599"/>
  <c r="M597"/>
  <c r="B596"/>
  <c r="D594"/>
  <c r="A593"/>
  <c r="C591"/>
  <c r="M589"/>
  <c r="B588"/>
  <c r="D586"/>
  <c r="A585"/>
  <c r="C583"/>
  <c r="M581"/>
  <c r="B580"/>
  <c r="D578"/>
  <c r="A577"/>
  <c r="C575"/>
  <c r="M573"/>
  <c r="B572"/>
  <c r="D570"/>
  <c r="A569"/>
  <c r="C567"/>
  <c r="M565"/>
  <c r="B564"/>
  <c r="D562"/>
  <c r="A561"/>
  <c r="C559"/>
  <c r="M557"/>
  <c r="B556"/>
  <c r="D554"/>
  <c r="A553"/>
  <c r="C551"/>
  <c r="M549"/>
  <c r="B548"/>
  <c r="D546"/>
  <c r="A545"/>
  <c r="C543"/>
  <c r="M541"/>
  <c r="B540"/>
  <c r="D538"/>
  <c r="A537"/>
  <c r="C535"/>
  <c r="M533"/>
  <c r="B532"/>
  <c r="D530"/>
  <c r="A529"/>
  <c r="C527"/>
  <c r="M525"/>
  <c r="B524"/>
  <c r="D522"/>
  <c r="A521"/>
  <c r="C519"/>
  <c r="M517"/>
  <c r="B516"/>
  <c r="D514"/>
  <c r="A513"/>
  <c r="C511"/>
  <c r="M509"/>
  <c r="B508"/>
  <c r="D506"/>
  <c r="A505"/>
  <c r="C503"/>
  <c r="M501"/>
  <c r="B500"/>
  <c r="D498"/>
  <c r="A497"/>
  <c r="C495"/>
  <c r="M493"/>
  <c r="B492"/>
  <c r="D490"/>
  <c r="A489"/>
  <c r="C487"/>
  <c r="M485"/>
  <c r="B484"/>
  <c r="D482"/>
  <c r="A481"/>
  <c r="C479"/>
  <c r="M477"/>
  <c r="B476"/>
  <c r="D474"/>
  <c r="A473"/>
  <c r="C471"/>
  <c r="M469"/>
  <c r="B468"/>
  <c r="D466"/>
  <c r="A465"/>
  <c r="C463"/>
  <c r="M461"/>
  <c r="B460"/>
  <c r="D458"/>
  <c r="A457"/>
  <c r="C455"/>
  <c r="M453"/>
  <c r="B452"/>
  <c r="D450"/>
  <c r="A449"/>
  <c r="C447"/>
  <c r="M445"/>
  <c r="B444"/>
  <c r="D442"/>
  <c r="A441"/>
  <c r="C439"/>
  <c r="M437"/>
  <c r="B436"/>
  <c r="D434"/>
  <c r="A433"/>
  <c r="C431"/>
  <c r="M429"/>
  <c r="B428"/>
  <c r="D426"/>
  <c r="A425"/>
  <c r="C423"/>
  <c r="M421"/>
  <c r="B420"/>
  <c r="D418"/>
  <c r="A417"/>
  <c r="C415"/>
  <c r="M413"/>
  <c r="B412"/>
  <c r="D410"/>
  <c r="A409"/>
  <c r="C407"/>
  <c r="M405"/>
  <c r="E405"/>
  <c r="J404"/>
  <c r="B404"/>
  <c r="G403"/>
  <c r="L402"/>
  <c r="D402"/>
  <c r="I401"/>
  <c r="A401"/>
  <c r="F400"/>
  <c r="K399"/>
  <c r="C399"/>
  <c r="H398"/>
  <c r="M397"/>
  <c r="E397"/>
  <c r="J396"/>
  <c r="B396"/>
  <c r="G395"/>
  <c r="L394"/>
  <c r="D394"/>
  <c r="I393"/>
  <c r="A393"/>
  <c r="F392"/>
  <c r="K391"/>
  <c r="C391"/>
  <c r="H390"/>
  <c r="M389"/>
  <c r="E389"/>
  <c r="J388"/>
  <c r="B388"/>
  <c r="G387"/>
  <c r="L386"/>
  <c r="D386"/>
  <c r="I385"/>
  <c r="A385"/>
  <c r="F384"/>
  <c r="K383"/>
  <c r="C383"/>
  <c r="H382"/>
  <c r="M381"/>
  <c r="E381"/>
  <c r="J380"/>
  <c r="B380"/>
  <c r="G379"/>
  <c r="L378"/>
  <c r="D378"/>
  <c r="I377"/>
  <c r="A377"/>
  <c r="F376"/>
  <c r="K375"/>
  <c r="C375"/>
  <c r="H374"/>
  <c r="M373"/>
  <c r="E373"/>
  <c r="J372"/>
  <c r="B372"/>
  <c r="G371"/>
  <c r="L370"/>
  <c r="D370"/>
  <c r="I369"/>
  <c r="A369"/>
  <c r="F368"/>
  <c r="K367"/>
  <c r="C367"/>
  <c r="H366"/>
  <c r="M365"/>
  <c r="E365"/>
  <c r="J364"/>
  <c r="B364"/>
  <c r="G363"/>
  <c r="L362"/>
  <c r="D362"/>
  <c r="I361"/>
  <c r="A361"/>
  <c r="F360"/>
  <c r="K359"/>
  <c r="C359"/>
  <c r="H358"/>
  <c r="M357"/>
  <c r="E357"/>
  <c r="J356"/>
  <c r="B356"/>
  <c r="G355"/>
  <c r="L354"/>
  <c r="D354"/>
  <c r="I353"/>
  <c r="A353"/>
  <c r="F352"/>
  <c r="K351"/>
  <c r="C351"/>
  <c r="H350"/>
  <c r="M349"/>
  <c r="E349"/>
  <c r="J348"/>
  <c r="B348"/>
  <c r="G347"/>
  <c r="L346"/>
  <c r="D346"/>
  <c r="I345"/>
  <c r="A345"/>
  <c r="F344"/>
  <c r="K343"/>
  <c r="C343"/>
  <c r="H342"/>
  <c r="M341"/>
  <c r="E341"/>
  <c r="J340"/>
  <c r="B340"/>
  <c r="G339"/>
  <c r="L338"/>
  <c r="D338"/>
  <c r="I337"/>
  <c r="A337"/>
  <c r="F336"/>
  <c r="K335"/>
  <c r="C335"/>
  <c r="H334"/>
  <c r="M333"/>
  <c r="E333"/>
  <c r="J332"/>
  <c r="B332"/>
  <c r="G331"/>
  <c r="L330"/>
  <c r="D330"/>
  <c r="I329"/>
  <c r="A329"/>
  <c r="F328"/>
  <c r="K327"/>
  <c r="C327"/>
  <c r="H326"/>
  <c r="M325"/>
  <c r="E325"/>
  <c r="J324"/>
  <c r="B324"/>
  <c r="G323"/>
  <c r="L322"/>
  <c r="D322"/>
  <c r="I321"/>
  <c r="A321"/>
  <c r="F320"/>
  <c r="K319"/>
  <c r="C319"/>
  <c r="H318"/>
  <c r="M317"/>
  <c r="E317"/>
  <c r="J316"/>
  <c r="B316"/>
  <c r="G315"/>
  <c r="L314"/>
  <c r="D314"/>
  <c r="I313"/>
  <c r="A313"/>
  <c r="F312"/>
  <c r="K311"/>
  <c r="C311"/>
  <c r="H310"/>
  <c r="M309"/>
  <c r="E309"/>
  <c r="J308"/>
  <c r="B308"/>
  <c r="G307"/>
  <c r="L306"/>
  <c r="D306"/>
  <c r="I305"/>
  <c r="A305"/>
  <c r="F304"/>
  <c r="K303"/>
  <c r="C303"/>
  <c r="H302"/>
  <c r="M301"/>
  <c r="E301"/>
  <c r="J300"/>
  <c r="B300"/>
  <c r="G299"/>
  <c r="L298"/>
  <c r="D298"/>
  <c r="I297"/>
  <c r="A297"/>
  <c r="E296"/>
  <c r="J295"/>
  <c r="B295"/>
  <c r="G294"/>
  <c r="L293"/>
  <c r="D293"/>
  <c r="I292"/>
  <c r="A292"/>
  <c r="F291"/>
  <c r="K290"/>
  <c r="C290"/>
  <c r="H289"/>
  <c r="M288"/>
  <c r="E288"/>
  <c r="J287"/>
  <c r="B287"/>
  <c r="G286"/>
  <c r="L285"/>
  <c r="D285"/>
  <c r="I284"/>
  <c r="A284"/>
  <c r="F283"/>
  <c r="K282"/>
  <c r="C282"/>
  <c r="H281"/>
  <c r="M280"/>
  <c r="E280"/>
  <c r="J279"/>
  <c r="B279"/>
  <c r="G278"/>
  <c r="L277"/>
  <c r="D277"/>
  <c r="I276"/>
  <c r="A276"/>
  <c r="F275"/>
  <c r="K274"/>
  <c r="C274"/>
  <c r="H273"/>
  <c r="M272"/>
  <c r="E272"/>
  <c r="J271"/>
  <c r="B271"/>
  <c r="G270"/>
  <c r="L269"/>
  <c r="D269"/>
  <c r="I268"/>
  <c r="A268"/>
  <c r="F267"/>
  <c r="K266"/>
  <c r="C266"/>
  <c r="H265"/>
  <c r="M264"/>
  <c r="E264"/>
  <c r="J263"/>
  <c r="B263"/>
  <c r="G262"/>
  <c r="L261"/>
  <c r="D261"/>
  <c r="I260"/>
  <c r="A260"/>
  <c r="F259"/>
  <c r="K258"/>
  <c r="C258"/>
  <c r="H257"/>
  <c r="M256"/>
  <c r="E256"/>
  <c r="J255"/>
  <c r="B255"/>
  <c r="G254"/>
  <c r="L253"/>
  <c r="D253"/>
  <c r="I252"/>
  <c r="A252"/>
  <c r="F251"/>
  <c r="K250"/>
  <c r="C250"/>
  <c r="H249"/>
  <c r="M248"/>
  <c r="E248"/>
  <c r="J247"/>
  <c r="B247"/>
  <c r="G246"/>
  <c r="L245"/>
  <c r="D245"/>
  <c r="I244"/>
  <c r="A244"/>
  <c r="F243"/>
  <c r="K242"/>
  <c r="C242"/>
  <c r="H241"/>
  <c r="M240"/>
  <c r="E240"/>
  <c r="J239"/>
  <c r="B239"/>
  <c r="G238"/>
  <c r="L237"/>
  <c r="D237"/>
  <c r="I236"/>
  <c r="A236"/>
  <c r="F235"/>
  <c r="K234"/>
  <c r="C234"/>
  <c r="H233"/>
  <c r="M232"/>
  <c r="E232"/>
  <c r="J231"/>
  <c r="B231"/>
  <c r="G230"/>
  <c r="L229"/>
  <c r="D229"/>
  <c r="I228"/>
  <c r="A228"/>
  <c r="F227"/>
  <c r="K226"/>
  <c r="C226"/>
  <c r="H225"/>
  <c r="M224"/>
  <c r="E224"/>
  <c r="J223"/>
  <c r="C463" i="4"/>
  <c r="C400"/>
  <c r="A352"/>
  <c r="B315"/>
  <c r="J274"/>
  <c r="A240"/>
  <c r="E222"/>
  <c r="M215"/>
  <c r="C210"/>
  <c r="E204"/>
  <c r="A199"/>
  <c r="C194"/>
  <c r="F189"/>
  <c r="E185"/>
  <c r="H181"/>
  <c r="M177"/>
  <c r="G173"/>
  <c r="I169"/>
  <c r="I165"/>
  <c r="B162"/>
  <c r="B158"/>
  <c r="B154"/>
  <c r="B150"/>
  <c r="B146"/>
  <c r="I142"/>
  <c r="C139"/>
  <c r="M135"/>
  <c r="C132"/>
  <c r="A129"/>
  <c r="J125"/>
  <c r="I122"/>
  <c r="B119"/>
  <c r="I115"/>
  <c r="B112"/>
  <c r="E109"/>
  <c r="A106"/>
  <c r="N102"/>
  <c r="E99"/>
  <c r="N95"/>
  <c r="I92"/>
  <c r="D89"/>
  <c r="B86"/>
  <c r="G82"/>
  <c r="C79"/>
  <c r="I75"/>
  <c r="E72"/>
  <c r="C69"/>
  <c r="B66"/>
  <c r="C63"/>
  <c r="C60"/>
  <c r="E57"/>
  <c r="F54"/>
  <c r="H51"/>
  <c r="F48"/>
  <c r="G45"/>
  <c r="H42"/>
  <c r="M39"/>
  <c r="N36"/>
  <c r="N33"/>
  <c r="C31"/>
  <c r="J28"/>
  <c r="G25"/>
  <c r="N22"/>
  <c r="H21"/>
  <c r="N20"/>
  <c r="D20"/>
  <c r="H19"/>
  <c r="N18"/>
  <c r="B18"/>
  <c r="E17"/>
  <c r="J16"/>
  <c r="A16"/>
  <c r="F15"/>
  <c r="L14"/>
  <c r="D14"/>
  <c r="I13"/>
  <c r="N12"/>
  <c r="D12"/>
  <c r="J11"/>
  <c r="B11"/>
  <c r="F10"/>
  <c r="I9"/>
  <c r="A9"/>
  <c r="F8"/>
  <c r="L7"/>
  <c r="D7"/>
  <c r="I6"/>
  <c r="A5"/>
  <c r="B609" i="3"/>
  <c r="D607"/>
  <c r="A606"/>
  <c r="C604"/>
  <c r="M602"/>
  <c r="B601"/>
  <c r="D599"/>
  <c r="A598"/>
  <c r="C596"/>
  <c r="M594"/>
  <c r="B593"/>
  <c r="D591"/>
  <c r="A590"/>
  <c r="C588"/>
  <c r="M586"/>
  <c r="B585"/>
  <c r="D583"/>
  <c r="A582"/>
  <c r="C580"/>
  <c r="M578"/>
  <c r="B577"/>
  <c r="D575"/>
  <c r="A574"/>
  <c r="C572"/>
  <c r="M570"/>
  <c r="B569"/>
  <c r="D567"/>
  <c r="A566"/>
  <c r="C564"/>
  <c r="M562"/>
  <c r="B561"/>
  <c r="D559"/>
  <c r="A558"/>
  <c r="C556"/>
  <c r="M554"/>
  <c r="B553"/>
  <c r="D551"/>
  <c r="A550"/>
  <c r="C548"/>
  <c r="M546"/>
  <c r="B545"/>
  <c r="D543"/>
  <c r="A542"/>
  <c r="C540"/>
  <c r="M538"/>
  <c r="B537"/>
  <c r="D535"/>
  <c r="A534"/>
  <c r="C532"/>
  <c r="M530"/>
  <c r="B529"/>
  <c r="D527"/>
  <c r="A526"/>
  <c r="C524"/>
  <c r="M522"/>
  <c r="B521"/>
  <c r="D519"/>
  <c r="A518"/>
  <c r="C516"/>
  <c r="M514"/>
  <c r="B513"/>
  <c r="D511"/>
  <c r="A510"/>
  <c r="C508"/>
  <c r="M506"/>
  <c r="B505"/>
  <c r="D503"/>
  <c r="A502"/>
  <c r="C500"/>
  <c r="M498"/>
  <c r="B497"/>
  <c r="D495"/>
  <c r="A494"/>
  <c r="C492"/>
  <c r="M490"/>
  <c r="B489"/>
  <c r="D487"/>
  <c r="A486"/>
  <c r="C484"/>
  <c r="M482"/>
  <c r="B481"/>
  <c r="D479"/>
  <c r="A478"/>
  <c r="C476"/>
  <c r="M474"/>
  <c r="B473"/>
  <c r="D471"/>
  <c r="A470"/>
  <c r="C468"/>
  <c r="M466"/>
  <c r="B465"/>
  <c r="D463"/>
  <c r="A462"/>
  <c r="C460"/>
  <c r="M458"/>
  <c r="B457"/>
  <c r="D455"/>
  <c r="A454"/>
  <c r="C452"/>
  <c r="M450"/>
  <c r="B449"/>
  <c r="D447"/>
  <c r="A446"/>
  <c r="C444"/>
  <c r="M442"/>
  <c r="B441"/>
  <c r="D439"/>
  <c r="A438"/>
  <c r="C436"/>
  <c r="M434"/>
  <c r="B433"/>
  <c r="D431"/>
  <c r="A430"/>
  <c r="C428"/>
  <c r="M426"/>
  <c r="B425"/>
  <c r="D423"/>
  <c r="A422"/>
  <c r="C420"/>
  <c r="M418"/>
  <c r="B417"/>
  <c r="D415"/>
  <c r="A414"/>
  <c r="C412"/>
  <c r="M410"/>
  <c r="B409"/>
  <c r="D407"/>
  <c r="A406"/>
  <c r="F405"/>
  <c r="K404"/>
  <c r="C404"/>
  <c r="H403"/>
  <c r="M402"/>
  <c r="E402"/>
  <c r="J401"/>
  <c r="B401"/>
  <c r="G400"/>
  <c r="L399"/>
  <c r="D399"/>
  <c r="I398"/>
  <c r="A398"/>
  <c r="F397"/>
  <c r="K396"/>
  <c r="C396"/>
  <c r="H395"/>
  <c r="M394"/>
  <c r="E394"/>
  <c r="J393"/>
  <c r="B393"/>
  <c r="G392"/>
  <c r="L391"/>
  <c r="D391"/>
  <c r="I390"/>
  <c r="A390"/>
  <c r="F389"/>
  <c r="K388"/>
  <c r="C388"/>
  <c r="H387"/>
  <c r="M386"/>
  <c r="E386"/>
  <c r="J385"/>
  <c r="B385"/>
  <c r="G384"/>
  <c r="L383"/>
  <c r="D383"/>
  <c r="I382"/>
  <c r="A382"/>
  <c r="F381"/>
  <c r="K380"/>
  <c r="C380"/>
  <c r="H379"/>
  <c r="M378"/>
  <c r="E378"/>
  <c r="J377"/>
  <c r="B377"/>
  <c r="G376"/>
  <c r="L375"/>
  <c r="D375"/>
  <c r="I374"/>
  <c r="A374"/>
  <c r="F373"/>
  <c r="K372"/>
  <c r="C372"/>
  <c r="H371"/>
  <c r="M370"/>
  <c r="E370"/>
  <c r="J369"/>
  <c r="B369"/>
  <c r="G368"/>
  <c r="L367"/>
  <c r="D367"/>
  <c r="I366"/>
  <c r="A366"/>
  <c r="F365"/>
  <c r="K364"/>
  <c r="C364"/>
  <c r="H363"/>
  <c r="M362"/>
  <c r="E362"/>
  <c r="J361"/>
  <c r="B361"/>
  <c r="G360"/>
  <c r="L359"/>
  <c r="D359"/>
  <c r="I358"/>
  <c r="A358"/>
  <c r="F357"/>
  <c r="K356"/>
  <c r="C356"/>
  <c r="H355"/>
  <c r="M354"/>
  <c r="E354"/>
  <c r="J353"/>
  <c r="B353"/>
  <c r="G352"/>
  <c r="L351"/>
  <c r="D351"/>
  <c r="I350"/>
  <c r="A350"/>
  <c r="F349"/>
  <c r="K348"/>
  <c r="C348"/>
  <c r="H347"/>
  <c r="M346"/>
  <c r="E346"/>
  <c r="J345"/>
  <c r="B345"/>
  <c r="G344"/>
  <c r="L343"/>
  <c r="D343"/>
  <c r="I342"/>
  <c r="A342"/>
  <c r="F341"/>
  <c r="K340"/>
  <c r="C340"/>
  <c r="H339"/>
  <c r="M338"/>
  <c r="E338"/>
  <c r="J337"/>
  <c r="B337"/>
  <c r="G336"/>
  <c r="L335"/>
  <c r="D335"/>
  <c r="I334"/>
  <c r="A334"/>
  <c r="F333"/>
  <c r="K332"/>
  <c r="C332"/>
  <c r="H331"/>
  <c r="M330"/>
  <c r="E330"/>
  <c r="J329"/>
  <c r="B329"/>
  <c r="G328"/>
  <c r="L327"/>
  <c r="D327"/>
  <c r="I326"/>
  <c r="A326"/>
  <c r="F325"/>
  <c r="K324"/>
  <c r="C324"/>
  <c r="H323"/>
  <c r="M322"/>
  <c r="E322"/>
  <c r="J321"/>
  <c r="B321"/>
  <c r="G320"/>
  <c r="L319"/>
  <c r="D319"/>
  <c r="I318"/>
  <c r="A318"/>
  <c r="F317"/>
  <c r="K316"/>
  <c r="C316"/>
  <c r="H315"/>
  <c r="M314"/>
  <c r="E314"/>
  <c r="J313"/>
  <c r="B313"/>
  <c r="G312"/>
  <c r="L311"/>
  <c r="D311"/>
  <c r="I310"/>
  <c r="A310"/>
  <c r="F309"/>
  <c r="K308"/>
  <c r="C308"/>
  <c r="H307"/>
  <c r="M306"/>
  <c r="E306"/>
  <c r="J305"/>
  <c r="B305"/>
  <c r="G304"/>
  <c r="L303"/>
  <c r="D303"/>
  <c r="I302"/>
  <c r="A302"/>
  <c r="F301"/>
  <c r="K300"/>
  <c r="C300"/>
  <c r="H299"/>
  <c r="M298"/>
  <c r="E298"/>
  <c r="J297"/>
  <c r="B297"/>
  <c r="F296"/>
  <c r="K295"/>
  <c r="C295"/>
  <c r="H294"/>
  <c r="M293"/>
  <c r="E293"/>
  <c r="J292"/>
  <c r="B292"/>
  <c r="G291"/>
  <c r="L290"/>
  <c r="D290"/>
  <c r="I289"/>
  <c r="A289"/>
  <c r="F288"/>
  <c r="K287"/>
  <c r="C287"/>
  <c r="H286"/>
  <c r="M285"/>
  <c r="E285"/>
  <c r="J284"/>
  <c r="B284"/>
  <c r="G283"/>
  <c r="L282"/>
  <c r="D282"/>
  <c r="I281"/>
  <c r="A281"/>
  <c r="F280"/>
  <c r="K279"/>
  <c r="C279"/>
  <c r="H278"/>
  <c r="M277"/>
  <c r="E277"/>
  <c r="J276"/>
  <c r="B276"/>
  <c r="G275"/>
  <c r="L274"/>
  <c r="D274"/>
  <c r="I273"/>
  <c r="A273"/>
  <c r="F272"/>
  <c r="K271"/>
  <c r="C271"/>
  <c r="H270"/>
  <c r="M269"/>
  <c r="E269"/>
  <c r="J268"/>
  <c r="B268"/>
  <c r="G267"/>
  <c r="L266"/>
  <c r="D266"/>
  <c r="I265"/>
  <c r="A265"/>
  <c r="F264"/>
  <c r="K263"/>
  <c r="C263"/>
  <c r="H262"/>
  <c r="M261"/>
  <c r="E261"/>
  <c r="J260"/>
  <c r="B260"/>
  <c r="G259"/>
  <c r="L258"/>
  <c r="D258"/>
  <c r="I257"/>
  <c r="A257"/>
  <c r="F256"/>
  <c r="K255"/>
  <c r="C255"/>
  <c r="H254"/>
  <c r="M253"/>
  <c r="E253"/>
  <c r="J252"/>
  <c r="B252"/>
  <c r="G251"/>
  <c r="L250"/>
  <c r="D250"/>
  <c r="I249"/>
  <c r="A249"/>
  <c r="F248"/>
  <c r="K247"/>
  <c r="C247"/>
  <c r="H246"/>
  <c r="M245"/>
  <c r="E245"/>
  <c r="J244"/>
  <c r="B244"/>
  <c r="G243"/>
  <c r="L242"/>
  <c r="D242"/>
  <c r="I241"/>
  <c r="A241"/>
  <c r="F240"/>
  <c r="K239"/>
  <c r="C239"/>
  <c r="H238"/>
  <c r="M237"/>
  <c r="E237"/>
  <c r="J236"/>
  <c r="B236"/>
  <c r="G235"/>
  <c r="L234"/>
  <c r="D234"/>
  <c r="I233"/>
  <c r="A233"/>
  <c r="F232"/>
  <c r="K231"/>
  <c r="C231"/>
  <c r="H230"/>
  <c r="M229"/>
  <c r="E229"/>
  <c r="J228"/>
  <c r="B228"/>
  <c r="G227"/>
  <c r="L226"/>
  <c r="D226"/>
  <c r="I225"/>
  <c r="A225"/>
  <c r="F224"/>
  <c r="K223"/>
  <c r="B476" i="4"/>
  <c r="C411"/>
  <c r="C361"/>
  <c r="C322"/>
  <c r="D283"/>
  <c r="E247"/>
  <c r="E224"/>
  <c r="B217"/>
  <c r="E211"/>
  <c r="B206"/>
  <c r="C200"/>
  <c r="C195"/>
  <c r="F190"/>
  <c r="D186"/>
  <c r="C182"/>
  <c r="I178"/>
  <c r="F174"/>
  <c r="F170"/>
  <c r="F166"/>
  <c r="L162"/>
  <c r="A159"/>
  <c r="A155"/>
  <c r="A151"/>
  <c r="A147"/>
  <c r="D143"/>
  <c r="A140"/>
  <c r="I136"/>
  <c r="B133"/>
  <c r="I129"/>
  <c r="E126"/>
  <c r="E123"/>
  <c r="M119"/>
  <c r="E116"/>
  <c r="A113"/>
  <c r="N109"/>
  <c r="I106"/>
  <c r="G103"/>
  <c r="B100"/>
  <c r="H96"/>
  <c r="E93"/>
  <c r="A90"/>
  <c r="N86"/>
  <c r="E83"/>
  <c r="N79"/>
  <c r="E76"/>
  <c r="B73"/>
  <c r="N69"/>
  <c r="M66"/>
  <c r="M63"/>
  <c r="M60"/>
  <c r="B58"/>
  <c r="B55"/>
  <c r="D52"/>
  <c r="D49"/>
  <c r="C46"/>
  <c r="D43"/>
  <c r="F40"/>
  <c r="G37"/>
  <c r="G34"/>
  <c r="L31"/>
  <c r="E29"/>
  <c r="D26"/>
  <c r="G23"/>
  <c r="I21"/>
  <c r="A21"/>
  <c r="E20"/>
  <c r="I19"/>
  <c r="A19"/>
  <c r="C18"/>
  <c r="F17"/>
  <c r="K16"/>
  <c r="B16"/>
  <c r="G15"/>
  <c r="M14"/>
  <c r="E14"/>
  <c r="J13"/>
  <c r="A13"/>
  <c r="E12"/>
  <c r="K11"/>
  <c r="C11"/>
  <c r="G10"/>
  <c r="M9"/>
  <c r="B9"/>
  <c r="G8"/>
  <c r="M7"/>
  <c r="E7"/>
  <c r="J6"/>
  <c r="D5"/>
  <c r="C609" i="3"/>
  <c r="M607"/>
  <c r="B606"/>
  <c r="D604"/>
  <c r="A603"/>
  <c r="C601"/>
  <c r="M599"/>
  <c r="B598"/>
  <c r="D596"/>
  <c r="A595"/>
  <c r="C593"/>
  <c r="M591"/>
  <c r="B590"/>
  <c r="D588"/>
  <c r="A587"/>
  <c r="C585"/>
  <c r="M583"/>
  <c r="B582"/>
  <c r="D580"/>
  <c r="A579"/>
  <c r="C577"/>
  <c r="M575"/>
  <c r="B574"/>
  <c r="D572"/>
  <c r="A571"/>
  <c r="C569"/>
  <c r="M567"/>
  <c r="B566"/>
  <c r="D564"/>
  <c r="A563"/>
  <c r="C561"/>
  <c r="M559"/>
  <c r="B558"/>
  <c r="D556"/>
  <c r="A555"/>
  <c r="C553"/>
  <c r="M551"/>
  <c r="B550"/>
  <c r="D548"/>
  <c r="A547"/>
  <c r="C545"/>
  <c r="M543"/>
  <c r="B542"/>
  <c r="D540"/>
  <c r="A539"/>
  <c r="C537"/>
  <c r="M535"/>
  <c r="B534"/>
  <c r="D532"/>
  <c r="A531"/>
  <c r="C529"/>
  <c r="M527"/>
  <c r="B526"/>
  <c r="D524"/>
  <c r="A523"/>
  <c r="C521"/>
  <c r="M519"/>
  <c r="B518"/>
  <c r="D516"/>
  <c r="A515"/>
  <c r="C513"/>
  <c r="M511"/>
  <c r="B510"/>
  <c r="D508"/>
  <c r="A507"/>
  <c r="C505"/>
  <c r="M503"/>
  <c r="B502"/>
  <c r="D500"/>
  <c r="A499"/>
  <c r="C497"/>
  <c r="M495"/>
  <c r="B494"/>
  <c r="D492"/>
  <c r="A491"/>
  <c r="C489"/>
  <c r="M487"/>
  <c r="B486"/>
  <c r="D484"/>
  <c r="A483"/>
  <c r="C481"/>
  <c r="M479"/>
  <c r="B478"/>
  <c r="D476"/>
  <c r="A475"/>
  <c r="C473"/>
  <c r="M471"/>
  <c r="B470"/>
  <c r="D468"/>
  <c r="A467"/>
  <c r="C465"/>
  <c r="M463"/>
  <c r="B462"/>
  <c r="D460"/>
  <c r="A459"/>
  <c r="C457"/>
  <c r="M455"/>
  <c r="B454"/>
  <c r="D452"/>
  <c r="A451"/>
  <c r="C449"/>
  <c r="M447"/>
  <c r="B446"/>
  <c r="D444"/>
  <c r="A443"/>
  <c r="C441"/>
  <c r="M439"/>
  <c r="B438"/>
  <c r="D436"/>
  <c r="A435"/>
  <c r="C433"/>
  <c r="M431"/>
  <c r="B430"/>
  <c r="D428"/>
  <c r="A427"/>
  <c r="C425"/>
  <c r="M423"/>
  <c r="B422"/>
  <c r="D420"/>
  <c r="A419"/>
  <c r="C417"/>
  <c r="M415"/>
  <c r="B414"/>
  <c r="D412"/>
  <c r="A411"/>
  <c r="C409"/>
  <c r="M407"/>
  <c r="B406"/>
  <c r="G405"/>
  <c r="L404"/>
  <c r="D404"/>
  <c r="I403"/>
  <c r="A403"/>
  <c r="F402"/>
  <c r="K401"/>
  <c r="C401"/>
  <c r="H400"/>
  <c r="M399"/>
  <c r="E399"/>
  <c r="J398"/>
  <c r="B398"/>
  <c r="G397"/>
  <c r="L396"/>
  <c r="D396"/>
  <c r="I395"/>
  <c r="A395"/>
  <c r="F394"/>
  <c r="K393"/>
  <c r="C393"/>
  <c r="H392"/>
  <c r="M391"/>
  <c r="E391"/>
  <c r="J390"/>
  <c r="B390"/>
  <c r="G389"/>
  <c r="L388"/>
  <c r="D388"/>
  <c r="I387"/>
  <c r="A387"/>
  <c r="F386"/>
  <c r="K385"/>
  <c r="C385"/>
  <c r="H384"/>
  <c r="M383"/>
  <c r="E383"/>
  <c r="J382"/>
  <c r="B382"/>
  <c r="G381"/>
  <c r="L380"/>
  <c r="D380"/>
  <c r="I379"/>
  <c r="A379"/>
  <c r="F378"/>
  <c r="K377"/>
  <c r="C377"/>
  <c r="H376"/>
  <c r="M375"/>
  <c r="E375"/>
  <c r="J374"/>
  <c r="B374"/>
  <c r="G373"/>
  <c r="L372"/>
  <c r="D372"/>
  <c r="I371"/>
  <c r="A371"/>
  <c r="F370"/>
  <c r="K369"/>
  <c r="C369"/>
  <c r="H368"/>
  <c r="M367"/>
  <c r="E367"/>
  <c r="J366"/>
  <c r="B366"/>
  <c r="G365"/>
  <c r="L364"/>
  <c r="D364"/>
  <c r="I363"/>
  <c r="A363"/>
  <c r="F362"/>
  <c r="K361"/>
  <c r="C361"/>
  <c r="H360"/>
  <c r="M359"/>
  <c r="E359"/>
  <c r="J358"/>
  <c r="B358"/>
  <c r="G357"/>
  <c r="L356"/>
  <c r="D356"/>
  <c r="I355"/>
  <c r="A355"/>
  <c r="F354"/>
  <c r="K353"/>
  <c r="C353"/>
  <c r="H352"/>
  <c r="M351"/>
  <c r="E351"/>
  <c r="J350"/>
  <c r="B350"/>
  <c r="G349"/>
  <c r="L348"/>
  <c r="D348"/>
  <c r="I347"/>
  <c r="A347"/>
  <c r="F346"/>
  <c r="K345"/>
  <c r="C345"/>
  <c r="H344"/>
  <c r="M343"/>
  <c r="E343"/>
  <c r="J342"/>
  <c r="B342"/>
  <c r="G341"/>
  <c r="L340"/>
  <c r="D340"/>
  <c r="I339"/>
  <c r="A339"/>
  <c r="F338"/>
  <c r="K337"/>
  <c r="C337"/>
  <c r="H336"/>
  <c r="M335"/>
  <c r="E335"/>
  <c r="J334"/>
  <c r="B334"/>
  <c r="G333"/>
  <c r="L332"/>
  <c r="D332"/>
  <c r="I331"/>
  <c r="A331"/>
  <c r="F330"/>
  <c r="K329"/>
  <c r="C329"/>
  <c r="H328"/>
  <c r="M327"/>
  <c r="E327"/>
  <c r="J326"/>
  <c r="B326"/>
  <c r="G325"/>
  <c r="L324"/>
  <c r="D324"/>
  <c r="I323"/>
  <c r="A323"/>
  <c r="F322"/>
  <c r="K321"/>
  <c r="C321"/>
  <c r="H320"/>
  <c r="M319"/>
  <c r="E319"/>
  <c r="J318"/>
  <c r="B318"/>
  <c r="G317"/>
  <c r="L316"/>
  <c r="D316"/>
  <c r="I315"/>
  <c r="A315"/>
  <c r="F314"/>
  <c r="K313"/>
  <c r="C313"/>
  <c r="H312"/>
  <c r="M311"/>
  <c r="E311"/>
  <c r="J310"/>
  <c r="B310"/>
  <c r="G309"/>
  <c r="L308"/>
  <c r="D308"/>
  <c r="I307"/>
  <c r="A307"/>
  <c r="F306"/>
  <c r="K305"/>
  <c r="C305"/>
  <c r="H304"/>
  <c r="M303"/>
  <c r="E303"/>
  <c r="J302"/>
  <c r="B302"/>
  <c r="G301"/>
  <c r="L300"/>
  <c r="D300"/>
  <c r="I299"/>
  <c r="A299"/>
  <c r="F298"/>
  <c r="K297"/>
  <c r="C297"/>
  <c r="G296"/>
  <c r="L295"/>
  <c r="D295"/>
  <c r="I294"/>
  <c r="A294"/>
  <c r="F293"/>
  <c r="K292"/>
  <c r="C292"/>
  <c r="H291"/>
  <c r="M290"/>
  <c r="E290"/>
  <c r="J289"/>
  <c r="B289"/>
  <c r="G288"/>
  <c r="L287"/>
  <c r="D287"/>
  <c r="I286"/>
  <c r="A286"/>
  <c r="F285"/>
  <c r="K284"/>
  <c r="C284"/>
  <c r="H283"/>
  <c r="M282"/>
  <c r="E282"/>
  <c r="J281"/>
  <c r="B281"/>
  <c r="G280"/>
  <c r="L279"/>
  <c r="D279"/>
  <c r="I278"/>
  <c r="A278"/>
  <c r="F277"/>
  <c r="K276"/>
  <c r="C276"/>
  <c r="H275"/>
  <c r="M274"/>
  <c r="E274"/>
  <c r="J273"/>
  <c r="B273"/>
  <c r="G272"/>
  <c r="L271"/>
  <c r="D271"/>
  <c r="I270"/>
  <c r="A270"/>
  <c r="F269"/>
  <c r="K268"/>
  <c r="C268"/>
  <c r="H267"/>
  <c r="M266"/>
  <c r="E266"/>
  <c r="J265"/>
  <c r="B265"/>
  <c r="G264"/>
  <c r="L263"/>
  <c r="D263"/>
  <c r="I262"/>
  <c r="A262"/>
  <c r="F261"/>
  <c r="K260"/>
  <c r="C260"/>
  <c r="H259"/>
  <c r="M258"/>
  <c r="E258"/>
  <c r="J257"/>
  <c r="B257"/>
  <c r="G256"/>
  <c r="L255"/>
  <c r="D255"/>
  <c r="I254"/>
  <c r="A254"/>
  <c r="F253"/>
  <c r="K252"/>
  <c r="C252"/>
  <c r="H251"/>
  <c r="M250"/>
  <c r="E250"/>
  <c r="J249"/>
  <c r="B249"/>
  <c r="G248"/>
  <c r="L247"/>
  <c r="D247"/>
  <c r="I246"/>
  <c r="A246"/>
  <c r="F245"/>
  <c r="K244"/>
  <c r="C244"/>
  <c r="H243"/>
  <c r="M242"/>
  <c r="E242"/>
  <c r="J241"/>
  <c r="B241"/>
  <c r="G240"/>
  <c r="L239"/>
  <c r="D239"/>
  <c r="I238"/>
  <c r="A238"/>
  <c r="F237"/>
  <c r="K236"/>
  <c r="C236"/>
  <c r="H235"/>
  <c r="M234"/>
  <c r="E234"/>
  <c r="J233"/>
  <c r="B233"/>
  <c r="G232"/>
  <c r="L231"/>
  <c r="D231"/>
  <c r="I230"/>
  <c r="A230"/>
  <c r="F229"/>
  <c r="K228"/>
  <c r="C228"/>
  <c r="H227"/>
  <c r="M226"/>
  <c r="E226"/>
  <c r="J225"/>
  <c r="B225"/>
  <c r="G224"/>
  <c r="L223"/>
  <c r="A489" i="4"/>
  <c r="M412"/>
  <c r="A363"/>
  <c r="D323"/>
  <c r="M284"/>
  <c r="I248"/>
  <c r="M224"/>
  <c r="C217"/>
  <c r="F211"/>
  <c r="C206"/>
  <c r="D200"/>
  <c r="D195"/>
  <c r="M190"/>
  <c r="E186"/>
  <c r="D182"/>
  <c r="M178"/>
  <c r="M174"/>
  <c r="I170"/>
  <c r="G166"/>
  <c r="M162"/>
  <c r="B159"/>
  <c r="B155"/>
  <c r="B151"/>
  <c r="B147"/>
  <c r="E143"/>
  <c r="B140"/>
  <c r="J136"/>
  <c r="C133"/>
  <c r="J129"/>
  <c r="F126"/>
  <c r="F123"/>
  <c r="N119"/>
  <c r="G116"/>
  <c r="B113"/>
  <c r="A110"/>
  <c r="M106"/>
  <c r="I103"/>
  <c r="C100"/>
  <c r="M96"/>
  <c r="F93"/>
  <c r="B90"/>
  <c r="A87"/>
  <c r="F83"/>
  <c r="A80"/>
  <c r="F76"/>
  <c r="C73"/>
  <c r="A70"/>
  <c r="N66"/>
  <c r="N63"/>
  <c r="N60"/>
  <c r="C58"/>
  <c r="C55"/>
  <c r="E52"/>
  <c r="E49"/>
  <c r="D46"/>
  <c r="E43"/>
  <c r="G40"/>
  <c r="I37"/>
  <c r="I34"/>
  <c r="M31"/>
  <c r="F29"/>
  <c r="E26"/>
  <c r="H23"/>
  <c r="M21"/>
  <c r="B21"/>
  <c r="F20"/>
  <c r="L19"/>
  <c r="B19"/>
  <c r="D18"/>
  <c r="G17"/>
  <c r="M16"/>
  <c r="C16"/>
  <c r="H15"/>
  <c r="N14"/>
  <c r="F14"/>
  <c r="L13"/>
  <c r="B13"/>
  <c r="F12"/>
  <c r="L11"/>
  <c r="D11"/>
  <c r="H10"/>
  <c r="N9"/>
  <c r="C9"/>
  <c r="H8"/>
  <c r="N7"/>
  <c r="F7"/>
  <c r="K6"/>
  <c r="E5"/>
  <c r="D609" i="3"/>
  <c r="A608"/>
  <c r="C606"/>
  <c r="M604"/>
  <c r="B603"/>
  <c r="D601"/>
  <c r="A600"/>
  <c r="C598"/>
  <c r="M596"/>
  <c r="B595"/>
  <c r="D593"/>
  <c r="A592"/>
  <c r="C590"/>
  <c r="M588"/>
  <c r="B587"/>
  <c r="D585"/>
  <c r="A584"/>
  <c r="C582"/>
  <c r="M580"/>
  <c r="B579"/>
  <c r="D577"/>
  <c r="A576"/>
  <c r="C574"/>
  <c r="M572"/>
  <c r="B571"/>
  <c r="D569"/>
  <c r="A568"/>
  <c r="C566"/>
  <c r="M564"/>
  <c r="B563"/>
  <c r="D561"/>
  <c r="A560"/>
  <c r="C558"/>
  <c r="M556"/>
  <c r="B555"/>
  <c r="D553"/>
  <c r="A552"/>
  <c r="C550"/>
  <c r="M548"/>
  <c r="B547"/>
  <c r="D545"/>
  <c r="A544"/>
  <c r="C542"/>
  <c r="M540"/>
  <c r="B539"/>
  <c r="D537"/>
  <c r="A536"/>
  <c r="C534"/>
  <c r="M532"/>
  <c r="B531"/>
  <c r="D529"/>
  <c r="A528"/>
  <c r="C526"/>
  <c r="M524"/>
  <c r="B523"/>
  <c r="D521"/>
  <c r="A520"/>
  <c r="C518"/>
  <c r="M516"/>
  <c r="B515"/>
  <c r="D513"/>
  <c r="A512"/>
  <c r="C510"/>
  <c r="M508"/>
  <c r="B507"/>
  <c r="D505"/>
  <c r="A504"/>
  <c r="C502"/>
  <c r="M500"/>
  <c r="B499"/>
  <c r="D497"/>
  <c r="A496"/>
  <c r="C494"/>
  <c r="M492"/>
  <c r="B491"/>
  <c r="D489"/>
  <c r="A488"/>
  <c r="C486"/>
  <c r="M484"/>
  <c r="B483"/>
  <c r="D481"/>
  <c r="A480"/>
  <c r="C478"/>
  <c r="M476"/>
  <c r="B475"/>
  <c r="D473"/>
  <c r="A472"/>
  <c r="C470"/>
  <c r="M468"/>
  <c r="B467"/>
  <c r="D465"/>
  <c r="A464"/>
  <c r="C462"/>
  <c r="M460"/>
  <c r="B459"/>
  <c r="D457"/>
  <c r="A456"/>
  <c r="C454"/>
  <c r="M452"/>
  <c r="B451"/>
  <c r="D449"/>
  <c r="A448"/>
  <c r="C446"/>
  <c r="M444"/>
  <c r="B443"/>
  <c r="D441"/>
  <c r="A440"/>
  <c r="C438"/>
  <c r="M436"/>
  <c r="B435"/>
  <c r="D433"/>
  <c r="A432"/>
  <c r="C430"/>
  <c r="M428"/>
  <c r="B427"/>
  <c r="D425"/>
  <c r="A424"/>
  <c r="C422"/>
  <c r="M420"/>
  <c r="B419"/>
  <c r="D417"/>
  <c r="A416"/>
  <c r="C414"/>
  <c r="M412"/>
  <c r="B411"/>
  <c r="D409"/>
  <c r="A408"/>
  <c r="C406"/>
  <c r="H405"/>
  <c r="M404"/>
  <c r="E404"/>
  <c r="J403"/>
  <c r="B403"/>
  <c r="G402"/>
  <c r="L401"/>
  <c r="D401"/>
  <c r="I400"/>
  <c r="A400"/>
  <c r="F399"/>
  <c r="K398"/>
  <c r="C398"/>
  <c r="H397"/>
  <c r="M396"/>
  <c r="E396"/>
  <c r="J395"/>
  <c r="B395"/>
  <c r="G394"/>
  <c r="L393"/>
  <c r="D393"/>
  <c r="I392"/>
  <c r="A392"/>
  <c r="F391"/>
  <c r="K390"/>
  <c r="C390"/>
  <c r="H389"/>
  <c r="M388"/>
  <c r="E388"/>
  <c r="J387"/>
  <c r="B387"/>
  <c r="G386"/>
  <c r="L385"/>
  <c r="D385"/>
  <c r="I384"/>
  <c r="A384"/>
  <c r="F383"/>
  <c r="K382"/>
  <c r="C382"/>
  <c r="H381"/>
  <c r="M380"/>
  <c r="E380"/>
  <c r="J379"/>
  <c r="B379"/>
  <c r="G378"/>
  <c r="L377"/>
  <c r="D377"/>
  <c r="I376"/>
  <c r="A376"/>
  <c r="F375"/>
  <c r="K374"/>
  <c r="C374"/>
  <c r="H373"/>
  <c r="M372"/>
  <c r="E372"/>
  <c r="J371"/>
  <c r="B371"/>
  <c r="G370"/>
  <c r="L369"/>
  <c r="D369"/>
  <c r="I368"/>
  <c r="A368"/>
  <c r="F367"/>
  <c r="K366"/>
  <c r="C366"/>
  <c r="H365"/>
  <c r="M364"/>
  <c r="E364"/>
  <c r="J363"/>
  <c r="B363"/>
  <c r="G362"/>
  <c r="L361"/>
  <c r="D361"/>
  <c r="I360"/>
  <c r="A360"/>
  <c r="F359"/>
  <c r="K358"/>
  <c r="C358"/>
  <c r="H357"/>
  <c r="M356"/>
  <c r="E356"/>
  <c r="J355"/>
  <c r="B355"/>
  <c r="G354"/>
  <c r="L353"/>
  <c r="D353"/>
  <c r="I352"/>
  <c r="A352"/>
  <c r="F351"/>
  <c r="K350"/>
  <c r="C350"/>
  <c r="H349"/>
  <c r="M348"/>
  <c r="E348"/>
  <c r="J347"/>
  <c r="B347"/>
  <c r="G346"/>
  <c r="L345"/>
  <c r="D345"/>
  <c r="I344"/>
  <c r="A344"/>
  <c r="F343"/>
  <c r="K342"/>
  <c r="C342"/>
  <c r="H341"/>
  <c r="M340"/>
  <c r="E340"/>
  <c r="J339"/>
  <c r="B339"/>
  <c r="G338"/>
  <c r="L337"/>
  <c r="D337"/>
  <c r="I336"/>
  <c r="A336"/>
  <c r="F335"/>
  <c r="K334"/>
  <c r="C334"/>
  <c r="H333"/>
  <c r="M332"/>
  <c r="E332"/>
  <c r="J331"/>
  <c r="B331"/>
  <c r="G330"/>
  <c r="L329"/>
  <c r="D329"/>
  <c r="I328"/>
  <c r="A328"/>
  <c r="F327"/>
  <c r="K326"/>
  <c r="C326"/>
  <c r="H325"/>
  <c r="M324"/>
  <c r="E324"/>
  <c r="J323"/>
  <c r="B323"/>
  <c r="G322"/>
  <c r="L321"/>
  <c r="D321"/>
  <c r="I320"/>
  <c r="A320"/>
  <c r="F319"/>
  <c r="K318"/>
  <c r="C318"/>
  <c r="H317"/>
  <c r="M316"/>
  <c r="E316"/>
  <c r="J315"/>
  <c r="B315"/>
  <c r="G314"/>
  <c r="L313"/>
  <c r="D313"/>
  <c r="I312"/>
  <c r="A312"/>
  <c r="F311"/>
  <c r="K310"/>
  <c r="C310"/>
  <c r="H309"/>
  <c r="M308"/>
  <c r="E308"/>
  <c r="J307"/>
  <c r="B307"/>
  <c r="G306"/>
  <c r="L305"/>
  <c r="D305"/>
  <c r="I304"/>
  <c r="A304"/>
  <c r="F303"/>
  <c r="K302"/>
  <c r="C302"/>
  <c r="H301"/>
  <c r="M300"/>
  <c r="E300"/>
  <c r="J299"/>
  <c r="B299"/>
  <c r="G298"/>
  <c r="L297"/>
  <c r="D297"/>
  <c r="H296"/>
  <c r="M295"/>
  <c r="E295"/>
  <c r="J294"/>
  <c r="B294"/>
  <c r="G293"/>
  <c r="L292"/>
  <c r="D292"/>
  <c r="I291"/>
  <c r="A291"/>
  <c r="F290"/>
  <c r="K289"/>
  <c r="C289"/>
  <c r="H288"/>
  <c r="M287"/>
  <c r="E287"/>
  <c r="J286"/>
  <c r="B286"/>
  <c r="G285"/>
  <c r="L284"/>
  <c r="D284"/>
  <c r="I283"/>
  <c r="A283"/>
  <c r="D501" i="4"/>
  <c r="M423"/>
  <c r="D373"/>
  <c r="D331"/>
  <c r="A294"/>
  <c r="E256"/>
  <c r="F226"/>
  <c r="M218"/>
  <c r="F212"/>
  <c r="A207"/>
  <c r="E201"/>
  <c r="C196"/>
  <c r="M191"/>
  <c r="E187"/>
  <c r="B183"/>
  <c r="I179"/>
  <c r="I175"/>
  <c r="F171"/>
  <c r="F167"/>
  <c r="I163"/>
  <c r="A160"/>
  <c r="A156"/>
  <c r="A152"/>
  <c r="A148"/>
  <c r="C144"/>
  <c r="N140"/>
  <c r="E137"/>
  <c r="A134"/>
  <c r="E130"/>
  <c r="B127"/>
  <c r="B124"/>
  <c r="M120"/>
  <c r="D117"/>
  <c r="A114"/>
  <c r="M110"/>
  <c r="F107"/>
  <c r="D104"/>
  <c r="A101"/>
  <c r="G97"/>
  <c r="C94"/>
  <c r="N90"/>
  <c r="I87"/>
  <c r="D84"/>
  <c r="M80"/>
  <c r="D77"/>
  <c r="A74"/>
  <c r="I70"/>
  <c r="G67"/>
  <c r="G64"/>
  <c r="G61"/>
  <c r="K58"/>
  <c r="J55"/>
  <c r="A53"/>
  <c r="A50"/>
  <c r="N46"/>
  <c r="A44"/>
  <c r="A41"/>
  <c r="C38"/>
  <c r="C35"/>
  <c r="F32"/>
  <c r="M29"/>
  <c r="B27"/>
  <c r="D24"/>
  <c r="N21"/>
  <c r="C21"/>
  <c r="G20"/>
  <c r="M19"/>
  <c r="C19"/>
  <c r="E18"/>
  <c r="H17"/>
  <c r="N16"/>
  <c r="D16"/>
  <c r="I15"/>
  <c r="A15"/>
  <c r="G14"/>
  <c r="M13"/>
  <c r="C13"/>
  <c r="G12"/>
  <c r="M11"/>
  <c r="E11"/>
  <c r="I10"/>
  <c r="A10"/>
  <c r="D9"/>
  <c r="I8"/>
  <c r="A8"/>
  <c r="G7"/>
  <c r="L6"/>
  <c r="L5"/>
  <c r="M609" i="3"/>
  <c r="B608"/>
  <c r="D606"/>
  <c r="A605"/>
  <c r="C603"/>
  <c r="M601"/>
  <c r="B600"/>
  <c r="D598"/>
  <c r="A597"/>
  <c r="C595"/>
  <c r="M593"/>
  <c r="B592"/>
  <c r="D590"/>
  <c r="A589"/>
  <c r="C587"/>
  <c r="M585"/>
  <c r="B584"/>
  <c r="D582"/>
  <c r="A581"/>
  <c r="C579"/>
  <c r="M577"/>
  <c r="B576"/>
  <c r="D574"/>
  <c r="A573"/>
  <c r="C571"/>
  <c r="M569"/>
  <c r="B568"/>
  <c r="D566"/>
  <c r="A565"/>
  <c r="C563"/>
  <c r="M561"/>
  <c r="B560"/>
  <c r="D558"/>
  <c r="A557"/>
  <c r="C555"/>
  <c r="M553"/>
  <c r="B552"/>
  <c r="D550"/>
  <c r="A549"/>
  <c r="C547"/>
  <c r="M545"/>
  <c r="B544"/>
  <c r="D542"/>
  <c r="A541"/>
  <c r="C539"/>
  <c r="M537"/>
  <c r="B536"/>
  <c r="D534"/>
  <c r="A533"/>
  <c r="C531"/>
  <c r="M529"/>
  <c r="B528"/>
  <c r="D526"/>
  <c r="A525"/>
  <c r="C523"/>
  <c r="M521"/>
  <c r="B520"/>
  <c r="D518"/>
  <c r="A517"/>
  <c r="C515"/>
  <c r="M513"/>
  <c r="B512"/>
  <c r="D510"/>
  <c r="A509"/>
  <c r="C507"/>
  <c r="M505"/>
  <c r="B504"/>
  <c r="D502"/>
  <c r="A501"/>
  <c r="C499"/>
  <c r="M497"/>
  <c r="B496"/>
  <c r="D494"/>
  <c r="A493"/>
  <c r="C491"/>
  <c r="M489"/>
  <c r="B488"/>
  <c r="D486"/>
  <c r="A485"/>
  <c r="C483"/>
  <c r="M481"/>
  <c r="B480"/>
  <c r="D478"/>
  <c r="A477"/>
  <c r="C475"/>
  <c r="M473"/>
  <c r="B472"/>
  <c r="D470"/>
  <c r="A469"/>
  <c r="C467"/>
  <c r="M465"/>
  <c r="B464"/>
  <c r="D462"/>
  <c r="A461"/>
  <c r="C459"/>
  <c r="M457"/>
  <c r="B456"/>
  <c r="D454"/>
  <c r="A453"/>
  <c r="C451"/>
  <c r="M449"/>
  <c r="B448"/>
  <c r="D446"/>
  <c r="A445"/>
  <c r="C443"/>
  <c r="M441"/>
  <c r="B440"/>
  <c r="D438"/>
  <c r="A437"/>
  <c r="C435"/>
  <c r="M433"/>
  <c r="B432"/>
  <c r="D430"/>
  <c r="A429"/>
  <c r="C427"/>
  <c r="M425"/>
  <c r="B424"/>
  <c r="D422"/>
  <c r="A421"/>
  <c r="C419"/>
  <c r="M417"/>
  <c r="B416"/>
  <c r="D414"/>
  <c r="A413"/>
  <c r="C411"/>
  <c r="M409"/>
  <c r="B408"/>
  <c r="D406"/>
  <c r="I405"/>
  <c r="A405"/>
  <c r="F404"/>
  <c r="K403"/>
  <c r="C403"/>
  <c r="H402"/>
  <c r="M401"/>
  <c r="E401"/>
  <c r="J400"/>
  <c r="B400"/>
  <c r="G399"/>
  <c r="L398"/>
  <c r="D398"/>
  <c r="I397"/>
  <c r="A397"/>
  <c r="F396"/>
  <c r="K395"/>
  <c r="C395"/>
  <c r="H394"/>
  <c r="M393"/>
  <c r="E393"/>
  <c r="J392"/>
  <c r="B392"/>
  <c r="G391"/>
  <c r="L390"/>
  <c r="D390"/>
  <c r="I389"/>
  <c r="A389"/>
  <c r="F388"/>
  <c r="K387"/>
  <c r="C387"/>
  <c r="H386"/>
  <c r="M385"/>
  <c r="E385"/>
  <c r="J384"/>
  <c r="B384"/>
  <c r="G383"/>
  <c r="L382"/>
  <c r="D382"/>
  <c r="I381"/>
  <c r="A381"/>
  <c r="F380"/>
  <c r="K379"/>
  <c r="C379"/>
  <c r="H378"/>
  <c r="M377"/>
  <c r="E377"/>
  <c r="J376"/>
  <c r="B376"/>
  <c r="G375"/>
  <c r="L374"/>
  <c r="D374"/>
  <c r="I373"/>
  <c r="A373"/>
  <c r="F372"/>
  <c r="K371"/>
  <c r="C371"/>
  <c r="H370"/>
  <c r="M369"/>
  <c r="E369"/>
  <c r="J368"/>
  <c r="B368"/>
  <c r="G367"/>
  <c r="L366"/>
  <c r="D366"/>
  <c r="I365"/>
  <c r="A365"/>
  <c r="F364"/>
  <c r="K363"/>
  <c r="C363"/>
  <c r="H362"/>
  <c r="M361"/>
  <c r="E361"/>
  <c r="J360"/>
  <c r="B360"/>
  <c r="G359"/>
  <c r="L358"/>
  <c r="D358"/>
  <c r="I357"/>
  <c r="A357"/>
  <c r="F356"/>
  <c r="K355"/>
  <c r="C355"/>
  <c r="H354"/>
  <c r="M353"/>
  <c r="E353"/>
  <c r="J352"/>
  <c r="B352"/>
  <c r="G351"/>
  <c r="L350"/>
  <c r="D350"/>
  <c r="I349"/>
  <c r="A349"/>
  <c r="F348"/>
  <c r="K347"/>
  <c r="C347"/>
  <c r="H346"/>
  <c r="M345"/>
  <c r="E345"/>
  <c r="J344"/>
  <c r="B344"/>
  <c r="G343"/>
  <c r="L342"/>
  <c r="D342"/>
  <c r="I341"/>
  <c r="A341"/>
  <c r="F340"/>
  <c r="K339"/>
  <c r="C339"/>
  <c r="H338"/>
  <c r="M337"/>
  <c r="E337"/>
  <c r="J336"/>
  <c r="B336"/>
  <c r="G335"/>
  <c r="L334"/>
  <c r="D334"/>
  <c r="I333"/>
  <c r="A333"/>
  <c r="F332"/>
  <c r="K331"/>
  <c r="C331"/>
  <c r="H330"/>
  <c r="M329"/>
  <c r="E329"/>
  <c r="J328"/>
  <c r="B328"/>
  <c r="G327"/>
  <c r="L326"/>
  <c r="D326"/>
  <c r="I325"/>
  <c r="A325"/>
  <c r="F324"/>
  <c r="K323"/>
  <c r="C323"/>
  <c r="H322"/>
  <c r="M321"/>
  <c r="E321"/>
  <c r="J320"/>
  <c r="B320"/>
  <c r="G319"/>
  <c r="L318"/>
  <c r="D318"/>
  <c r="I317"/>
  <c r="A317"/>
  <c r="F316"/>
  <c r="K315"/>
  <c r="C315"/>
  <c r="H314"/>
  <c r="M313"/>
  <c r="E313"/>
  <c r="J312"/>
  <c r="B312"/>
  <c r="G311"/>
  <c r="L310"/>
  <c r="D310"/>
  <c r="I309"/>
  <c r="A309"/>
  <c r="F308"/>
  <c r="K307"/>
  <c r="C307"/>
  <c r="H306"/>
  <c r="M305"/>
  <c r="E305"/>
  <c r="J304"/>
  <c r="B304"/>
  <c r="G303"/>
  <c r="L302"/>
  <c r="D302"/>
  <c r="I301"/>
  <c r="A301"/>
  <c r="F300"/>
  <c r="K299"/>
  <c r="C299"/>
  <c r="H298"/>
  <c r="M297"/>
  <c r="E297"/>
  <c r="I296"/>
  <c r="A296"/>
  <c r="F295"/>
  <c r="K294"/>
  <c r="C294"/>
  <c r="H293"/>
  <c r="M292"/>
  <c r="E292"/>
  <c r="J291"/>
  <c r="B291"/>
  <c r="G290"/>
  <c r="L289"/>
  <c r="D289"/>
  <c r="I288"/>
  <c r="A288"/>
  <c r="F287"/>
  <c r="K286"/>
  <c r="C286"/>
  <c r="H285"/>
  <c r="M284"/>
  <c r="E284"/>
  <c r="J283"/>
  <c r="B283"/>
  <c r="G282"/>
  <c r="L281"/>
  <c r="D281"/>
  <c r="I280"/>
  <c r="A280"/>
  <c r="F279"/>
  <c r="K278"/>
  <c r="C278"/>
  <c r="H277"/>
  <c r="M276"/>
  <c r="E276"/>
  <c r="J275"/>
  <c r="B275"/>
  <c r="G274"/>
  <c r="L273"/>
  <c r="D273"/>
  <c r="I272"/>
  <c r="A272"/>
  <c r="F271"/>
  <c r="K270"/>
  <c r="C270"/>
  <c r="H269"/>
  <c r="M268"/>
  <c r="E268"/>
  <c r="J267"/>
  <c r="B267"/>
  <c r="G266"/>
  <c r="L265"/>
  <c r="D265"/>
  <c r="I264"/>
  <c r="A264"/>
  <c r="F263"/>
  <c r="K262"/>
  <c r="C262"/>
  <c r="H261"/>
  <c r="M260"/>
  <c r="E260"/>
  <c r="J259"/>
  <c r="B259"/>
  <c r="G258"/>
  <c r="L257"/>
  <c r="D257"/>
  <c r="I256"/>
  <c r="A256"/>
  <c r="F255"/>
  <c r="K254"/>
  <c r="C254"/>
  <c r="H253"/>
  <c r="M252"/>
  <c r="E252"/>
  <c r="J251"/>
  <c r="B251"/>
  <c r="G250"/>
  <c r="L249"/>
  <c r="D249"/>
  <c r="I248"/>
  <c r="A248"/>
  <c r="F247"/>
  <c r="K246"/>
  <c r="C246"/>
  <c r="H245"/>
  <c r="M244"/>
  <c r="E244"/>
  <c r="J243"/>
  <c r="B243"/>
  <c r="G242"/>
  <c r="L241"/>
  <c r="D241"/>
  <c r="I240"/>
  <c r="A240"/>
  <c r="F239"/>
  <c r="K238"/>
  <c r="C238"/>
  <c r="H237"/>
  <c r="M236"/>
  <c r="E236"/>
  <c r="J235"/>
  <c r="B235"/>
  <c r="G234"/>
  <c r="L233"/>
  <c r="D233"/>
  <c r="I232"/>
  <c r="A232"/>
  <c r="F231"/>
  <c r="K230"/>
  <c r="C230"/>
  <c r="H229"/>
  <c r="M228"/>
  <c r="E228"/>
  <c r="J227"/>
  <c r="B227"/>
  <c r="G226"/>
  <c r="L225"/>
  <c r="D225"/>
  <c r="I224"/>
  <c r="A224"/>
  <c r="C514" i="4"/>
  <c r="C425"/>
  <c r="B375"/>
  <c r="E332"/>
  <c r="C295"/>
  <c r="F257"/>
  <c r="A227"/>
  <c r="A219"/>
  <c r="M212"/>
  <c r="B207"/>
  <c r="F201"/>
  <c r="D196"/>
  <c r="A192"/>
  <c r="F187"/>
  <c r="C183"/>
  <c r="M179"/>
  <c r="M175"/>
  <c r="I171"/>
  <c r="I167"/>
  <c r="K163"/>
  <c r="B160"/>
  <c r="B156"/>
  <c r="B152"/>
  <c r="B148"/>
  <c r="D144"/>
  <c r="A141"/>
  <c r="F137"/>
  <c r="B134"/>
  <c r="F130"/>
  <c r="C127"/>
  <c r="C124"/>
  <c r="N120"/>
  <c r="E117"/>
  <c r="B114"/>
  <c r="N110"/>
  <c r="I107"/>
  <c r="E104"/>
  <c r="B101"/>
  <c r="I97"/>
  <c r="D94"/>
  <c r="A91"/>
  <c r="J87"/>
  <c r="E84"/>
  <c r="N80"/>
  <c r="E77"/>
  <c r="B74"/>
  <c r="M70"/>
  <c r="I67"/>
  <c r="H64"/>
  <c r="I61"/>
  <c r="M58"/>
  <c r="M55"/>
  <c r="B53"/>
  <c r="B50"/>
  <c r="A47"/>
  <c r="B44"/>
  <c r="B41"/>
  <c r="D38"/>
  <c r="D35"/>
  <c r="G32"/>
  <c r="N29"/>
  <c r="C27"/>
  <c r="E24"/>
  <c r="A22"/>
  <c r="D21"/>
  <c r="H20"/>
  <c r="N19"/>
  <c r="D19"/>
  <c r="F18"/>
  <c r="I17"/>
  <c r="A17"/>
  <c r="E16"/>
  <c r="J15"/>
  <c r="B15"/>
  <c r="H14"/>
  <c r="N13"/>
  <c r="D13"/>
  <c r="I12"/>
  <c r="N11"/>
  <c r="F11"/>
  <c r="L10"/>
  <c r="B10"/>
  <c r="E9"/>
  <c r="J8"/>
  <c r="B8"/>
  <c r="H7"/>
  <c r="M6"/>
  <c r="E6"/>
  <c r="M610" i="3"/>
  <c r="C608"/>
  <c r="M606"/>
  <c r="B605"/>
  <c r="D603"/>
  <c r="A602"/>
  <c r="C600"/>
  <c r="M598"/>
  <c r="B597"/>
  <c r="D595"/>
  <c r="A594"/>
  <c r="C592"/>
  <c r="M590"/>
  <c r="B589"/>
  <c r="D587"/>
  <c r="A586"/>
  <c r="C584"/>
  <c r="M582"/>
  <c r="B581"/>
  <c r="D579"/>
  <c r="A578"/>
  <c r="C576"/>
  <c r="M574"/>
  <c r="B573"/>
  <c r="D571"/>
  <c r="A570"/>
  <c r="C568"/>
  <c r="M566"/>
  <c r="B565"/>
  <c r="D563"/>
  <c r="A562"/>
  <c r="C560"/>
  <c r="M558"/>
  <c r="B557"/>
  <c r="D555"/>
  <c r="A554"/>
  <c r="C552"/>
  <c r="M550"/>
  <c r="B549"/>
  <c r="D547"/>
  <c r="A546"/>
  <c r="C544"/>
  <c r="M542"/>
  <c r="B541"/>
  <c r="D539"/>
  <c r="A538"/>
  <c r="C536"/>
  <c r="M534"/>
  <c r="B533"/>
  <c r="D531"/>
  <c r="A530"/>
  <c r="C528"/>
  <c r="M526"/>
  <c r="B525"/>
  <c r="D523"/>
  <c r="A522"/>
  <c r="C520"/>
  <c r="M518"/>
  <c r="B517"/>
  <c r="D515"/>
  <c r="A514"/>
  <c r="C512"/>
  <c r="M510"/>
  <c r="B509"/>
  <c r="D507"/>
  <c r="A506"/>
  <c r="C504"/>
  <c r="M502"/>
  <c r="B501"/>
  <c r="D499"/>
  <c r="A498"/>
  <c r="C496"/>
  <c r="M494"/>
  <c r="B493"/>
  <c r="D491"/>
  <c r="A490"/>
  <c r="C488"/>
  <c r="M486"/>
  <c r="B485"/>
  <c r="D483"/>
  <c r="A482"/>
  <c r="C480"/>
  <c r="M478"/>
  <c r="B477"/>
  <c r="D475"/>
  <c r="A474"/>
  <c r="C472"/>
  <c r="M470"/>
  <c r="B469"/>
  <c r="D467"/>
  <c r="A466"/>
  <c r="C464"/>
  <c r="M462"/>
  <c r="B461"/>
  <c r="D459"/>
  <c r="A458"/>
  <c r="C456"/>
  <c r="M454"/>
  <c r="B453"/>
  <c r="D451"/>
  <c r="A450"/>
  <c r="C448"/>
  <c r="M446"/>
  <c r="B445"/>
  <c r="D443"/>
  <c r="A442"/>
  <c r="C440"/>
  <c r="M438"/>
  <c r="B437"/>
  <c r="D435"/>
  <c r="A434"/>
  <c r="C432"/>
  <c r="M430"/>
  <c r="B429"/>
  <c r="D427"/>
  <c r="A426"/>
  <c r="C424"/>
  <c r="M422"/>
  <c r="B421"/>
  <c r="D419"/>
  <c r="A418"/>
  <c r="C416"/>
  <c r="M414"/>
  <c r="B413"/>
  <c r="D411"/>
  <c r="A410"/>
  <c r="C408"/>
  <c r="M406"/>
  <c r="J405"/>
  <c r="B405"/>
  <c r="G404"/>
  <c r="L403"/>
  <c r="D403"/>
  <c r="I402"/>
  <c r="A402"/>
  <c r="F401"/>
  <c r="K400"/>
  <c r="C400"/>
  <c r="H399"/>
  <c r="M398"/>
  <c r="E398"/>
  <c r="J397"/>
  <c r="B397"/>
  <c r="G396"/>
  <c r="L395"/>
  <c r="D395"/>
  <c r="I394"/>
  <c r="A394"/>
  <c r="F393"/>
  <c r="K392"/>
  <c r="C392"/>
  <c r="H391"/>
  <c r="M390"/>
  <c r="E390"/>
  <c r="J389"/>
  <c r="B389"/>
  <c r="G388"/>
  <c r="L387"/>
  <c r="D387"/>
  <c r="I386"/>
  <c r="A386"/>
  <c r="F385"/>
  <c r="K384"/>
  <c r="C384"/>
  <c r="H383"/>
  <c r="M382"/>
  <c r="E382"/>
  <c r="J381"/>
  <c r="B381"/>
  <c r="G380"/>
  <c r="L379"/>
  <c r="D379"/>
  <c r="I378"/>
  <c r="A378"/>
  <c r="F377"/>
  <c r="K376"/>
  <c r="C376"/>
  <c r="H375"/>
  <c r="M374"/>
  <c r="E374"/>
  <c r="J373"/>
  <c r="B373"/>
  <c r="G372"/>
  <c r="L371"/>
  <c r="D371"/>
  <c r="I370"/>
  <c r="A370"/>
  <c r="F369"/>
  <c r="K368"/>
  <c r="C368"/>
  <c r="H367"/>
  <c r="M366"/>
  <c r="E366"/>
  <c r="J365"/>
  <c r="B365"/>
  <c r="G364"/>
  <c r="L363"/>
  <c r="D363"/>
  <c r="I362"/>
  <c r="A362"/>
  <c r="F361"/>
  <c r="K360"/>
  <c r="C360"/>
  <c r="H359"/>
  <c r="M358"/>
  <c r="E358"/>
  <c r="J357"/>
  <c r="B357"/>
  <c r="G356"/>
  <c r="L355"/>
  <c r="D355"/>
  <c r="I354"/>
  <c r="A354"/>
  <c r="F353"/>
  <c r="K352"/>
  <c r="C352"/>
  <c r="H351"/>
  <c r="M350"/>
  <c r="E350"/>
  <c r="J349"/>
  <c r="B349"/>
  <c r="G348"/>
  <c r="L347"/>
  <c r="D347"/>
  <c r="I346"/>
  <c r="A346"/>
  <c r="F345"/>
  <c r="K344"/>
  <c r="C344"/>
  <c r="H343"/>
  <c r="M342"/>
  <c r="E342"/>
  <c r="J341"/>
  <c r="B341"/>
  <c r="G340"/>
  <c r="L339"/>
  <c r="D339"/>
  <c r="I338"/>
  <c r="A338"/>
  <c r="F337"/>
  <c r="K336"/>
  <c r="C336"/>
  <c r="H335"/>
  <c r="M334"/>
  <c r="E334"/>
  <c r="J333"/>
  <c r="B333"/>
  <c r="G332"/>
  <c r="L331"/>
  <c r="D331"/>
  <c r="I330"/>
  <c r="A330"/>
  <c r="F329"/>
  <c r="K328"/>
  <c r="C328"/>
  <c r="H327"/>
  <c r="M326"/>
  <c r="E326"/>
  <c r="J325"/>
  <c r="B325"/>
  <c r="G324"/>
  <c r="L323"/>
  <c r="D323"/>
  <c r="I322"/>
  <c r="A322"/>
  <c r="F321"/>
  <c r="K320"/>
  <c r="C320"/>
  <c r="H319"/>
  <c r="M318"/>
  <c r="E318"/>
  <c r="J317"/>
  <c r="B317"/>
  <c r="G316"/>
  <c r="L315"/>
  <c r="D315"/>
  <c r="I314"/>
  <c r="A314"/>
  <c r="F313"/>
  <c r="K312"/>
  <c r="C312"/>
  <c r="H311"/>
  <c r="M310"/>
  <c r="E310"/>
  <c r="J309"/>
  <c r="B309"/>
  <c r="G308"/>
  <c r="L307"/>
  <c r="D307"/>
  <c r="I306"/>
  <c r="A306"/>
  <c r="F305"/>
  <c r="K304"/>
  <c r="C304"/>
  <c r="H303"/>
  <c r="M302"/>
  <c r="E302"/>
  <c r="J301"/>
  <c r="B301"/>
  <c r="G300"/>
  <c r="L299"/>
  <c r="D299"/>
  <c r="I298"/>
  <c r="A298"/>
  <c r="F297"/>
  <c r="J296"/>
  <c r="B296"/>
  <c r="G295"/>
  <c r="L294"/>
  <c r="D294"/>
  <c r="I293"/>
  <c r="A293"/>
  <c r="F292"/>
  <c r="K291"/>
  <c r="C291"/>
  <c r="H290"/>
  <c r="M289"/>
  <c r="E289"/>
  <c r="J288"/>
  <c r="B288"/>
  <c r="G287"/>
  <c r="L286"/>
  <c r="D286"/>
  <c r="I285"/>
  <c r="A285"/>
  <c r="F284"/>
  <c r="K283"/>
  <c r="C283"/>
  <c r="H282"/>
  <c r="M281"/>
  <c r="E281"/>
  <c r="J280"/>
  <c r="B280"/>
  <c r="G279"/>
  <c r="L278"/>
  <c r="D278"/>
  <c r="I277"/>
  <c r="A277"/>
  <c r="F276"/>
  <c r="K275"/>
  <c r="C275"/>
  <c r="H274"/>
  <c r="M273"/>
  <c r="E273"/>
  <c r="J272"/>
  <c r="B272"/>
  <c r="G271"/>
  <c r="L270"/>
  <c r="D270"/>
  <c r="I269"/>
  <c r="A269"/>
  <c r="F268"/>
  <c r="K267"/>
  <c r="C267"/>
  <c r="H266"/>
  <c r="M265"/>
  <c r="E265"/>
  <c r="J264"/>
  <c r="B264"/>
  <c r="G263"/>
  <c r="L262"/>
  <c r="D262"/>
  <c r="I261"/>
  <c r="A261"/>
  <c r="F260"/>
  <c r="K259"/>
  <c r="C259"/>
  <c r="H258"/>
  <c r="M257"/>
  <c r="E257"/>
  <c r="J256"/>
  <c r="B256"/>
  <c r="G255"/>
  <c r="L254"/>
  <c r="D254"/>
  <c r="I253"/>
  <c r="A253"/>
  <c r="F252"/>
  <c r="K251"/>
  <c r="C251"/>
  <c r="H250"/>
  <c r="M249"/>
  <c r="E249"/>
  <c r="J248"/>
  <c r="B248"/>
  <c r="G247"/>
  <c r="L246"/>
  <c r="D246"/>
  <c r="I245"/>
  <c r="A245"/>
  <c r="F244"/>
  <c r="K243"/>
  <c r="C243"/>
  <c r="H242"/>
  <c r="M241"/>
  <c r="E241"/>
  <c r="J240"/>
  <c r="B240"/>
  <c r="G239"/>
  <c r="L238"/>
  <c r="D238"/>
  <c r="I237"/>
  <c r="A237"/>
  <c r="F236"/>
  <c r="K235"/>
  <c r="C235"/>
  <c r="H234"/>
  <c r="M233"/>
  <c r="E233"/>
  <c r="J232"/>
  <c r="B232"/>
  <c r="G231"/>
  <c r="L230"/>
  <c r="D230"/>
  <c r="I229"/>
  <c r="A229"/>
  <c r="F228"/>
  <c r="K227"/>
  <c r="C227"/>
  <c r="H226"/>
  <c r="M225"/>
  <c r="E225"/>
  <c r="J224"/>
  <c r="B224"/>
  <c r="A527" i="4"/>
  <c r="C436"/>
  <c r="C386"/>
  <c r="A341"/>
  <c r="C304"/>
  <c r="C264"/>
  <c r="F229"/>
  <c r="C220"/>
  <c r="D214"/>
  <c r="D208"/>
  <c r="A203"/>
  <c r="E197"/>
  <c r="A193"/>
  <c r="D188"/>
  <c r="C184"/>
  <c r="G180"/>
  <c r="I176"/>
  <c r="F172"/>
  <c r="F168"/>
  <c r="F164"/>
  <c r="A161"/>
  <c r="A157"/>
  <c r="A153"/>
  <c r="A149"/>
  <c r="A145"/>
  <c r="M141"/>
  <c r="D138"/>
  <c r="M134"/>
  <c r="D131"/>
  <c r="A128"/>
  <c r="N124"/>
  <c r="M121"/>
  <c r="C118"/>
  <c r="J114"/>
  <c r="G111"/>
  <c r="E108"/>
  <c r="B105"/>
  <c r="N101"/>
  <c r="E98"/>
  <c r="N94"/>
  <c r="I91"/>
  <c r="E88"/>
  <c r="B85"/>
  <c r="I81"/>
  <c r="C78"/>
  <c r="M74"/>
  <c r="F71"/>
  <c r="E68"/>
  <c r="C65"/>
  <c r="E62"/>
  <c r="F59"/>
  <c r="F56"/>
  <c r="I53"/>
  <c r="I50"/>
  <c r="H47"/>
  <c r="K44"/>
  <c r="M41"/>
  <c r="N38"/>
  <c r="A36"/>
  <c r="A33"/>
  <c r="G30"/>
  <c r="N27"/>
  <c r="L24"/>
  <c r="B22"/>
  <c r="E21"/>
  <c r="I20"/>
  <c r="A20"/>
  <c r="E19"/>
  <c r="G18"/>
  <c r="M17"/>
  <c r="B17"/>
  <c r="F16"/>
  <c r="K15"/>
  <c r="C15"/>
  <c r="I14"/>
  <c r="A14"/>
  <c r="E13"/>
  <c r="D220"/>
  <c r="M180"/>
  <c r="B149"/>
  <c r="N121"/>
  <c r="A95"/>
  <c r="F68"/>
  <c r="M44"/>
  <c r="C22"/>
  <c r="G16"/>
  <c r="B12"/>
  <c r="G9"/>
  <c r="B7"/>
  <c r="B607" i="3"/>
  <c r="M600"/>
  <c r="C594"/>
  <c r="A588"/>
  <c r="D581"/>
  <c r="B575"/>
  <c r="M568"/>
  <c r="C562"/>
  <c r="A556"/>
  <c r="D549"/>
  <c r="B543"/>
  <c r="M536"/>
  <c r="C530"/>
  <c r="A524"/>
  <c r="D517"/>
  <c r="B511"/>
  <c r="M504"/>
  <c r="C498"/>
  <c r="A492"/>
  <c r="D485"/>
  <c r="B479"/>
  <c r="M472"/>
  <c r="C466"/>
  <c r="A460"/>
  <c r="D453"/>
  <c r="B447"/>
  <c r="M440"/>
  <c r="C434"/>
  <c r="A428"/>
  <c r="D421"/>
  <c r="B415"/>
  <c r="M408"/>
  <c r="I404"/>
  <c r="C402"/>
  <c r="J399"/>
  <c r="D397"/>
  <c r="K394"/>
  <c r="E392"/>
  <c r="L389"/>
  <c r="F387"/>
  <c r="M384"/>
  <c r="G382"/>
  <c r="A380"/>
  <c r="H377"/>
  <c r="B375"/>
  <c r="I372"/>
  <c r="C370"/>
  <c r="J367"/>
  <c r="D365"/>
  <c r="K362"/>
  <c r="E360"/>
  <c r="L357"/>
  <c r="F355"/>
  <c r="M352"/>
  <c r="G350"/>
  <c r="A348"/>
  <c r="H345"/>
  <c r="B343"/>
  <c r="I340"/>
  <c r="C338"/>
  <c r="J335"/>
  <c r="D333"/>
  <c r="K330"/>
  <c r="E328"/>
  <c r="L325"/>
  <c r="F323"/>
  <c r="M320"/>
  <c r="G318"/>
  <c r="A316"/>
  <c r="H313"/>
  <c r="B311"/>
  <c r="I308"/>
  <c r="C306"/>
  <c r="J303"/>
  <c r="D301"/>
  <c r="K298"/>
  <c r="D296"/>
  <c r="K293"/>
  <c r="E291"/>
  <c r="L288"/>
  <c r="F286"/>
  <c r="M283"/>
  <c r="A282"/>
  <c r="D280"/>
  <c r="J278"/>
  <c r="B277"/>
  <c r="E275"/>
  <c r="K273"/>
  <c r="C272"/>
  <c r="F270"/>
  <c r="L268"/>
  <c r="D267"/>
  <c r="G265"/>
  <c r="M263"/>
  <c r="E262"/>
  <c r="H260"/>
  <c r="A259"/>
  <c r="F257"/>
  <c r="I255"/>
  <c r="B254"/>
  <c r="G252"/>
  <c r="J250"/>
  <c r="C249"/>
  <c r="H247"/>
  <c r="K245"/>
  <c r="D244"/>
  <c r="I242"/>
  <c r="L240"/>
  <c r="E239"/>
  <c r="J237"/>
  <c r="M235"/>
  <c r="F234"/>
  <c r="K232"/>
  <c r="A231"/>
  <c r="G229"/>
  <c r="L227"/>
  <c r="B226"/>
  <c r="H224"/>
  <c r="E223"/>
  <c r="J222"/>
  <c r="B222"/>
  <c r="G221"/>
  <c r="L220"/>
  <c r="D220"/>
  <c r="I219"/>
  <c r="A219"/>
  <c r="F218"/>
  <c r="K217"/>
  <c r="C217"/>
  <c r="H216"/>
  <c r="M215"/>
  <c r="E215"/>
  <c r="J214"/>
  <c r="B214"/>
  <c r="G213"/>
  <c r="L212"/>
  <c r="D212"/>
  <c r="I211"/>
  <c r="A211"/>
  <c r="F210"/>
  <c r="K209"/>
  <c r="C209"/>
  <c r="H208"/>
  <c r="M207"/>
  <c r="E207"/>
  <c r="J206"/>
  <c r="B206"/>
  <c r="G205"/>
  <c r="L204"/>
  <c r="D204"/>
  <c r="I203"/>
  <c r="A203"/>
  <c r="F202"/>
  <c r="K201"/>
  <c r="C201"/>
  <c r="H200"/>
  <c r="M199"/>
  <c r="E199"/>
  <c r="J198"/>
  <c r="B198"/>
  <c r="G197"/>
  <c r="L196"/>
  <c r="D196"/>
  <c r="I195"/>
  <c r="A195"/>
  <c r="F194"/>
  <c r="K193"/>
  <c r="C193"/>
  <c r="H192"/>
  <c r="M191"/>
  <c r="E191"/>
  <c r="J190"/>
  <c r="B190"/>
  <c r="G189"/>
  <c r="L188"/>
  <c r="D188"/>
  <c r="I187"/>
  <c r="A187"/>
  <c r="F186"/>
  <c r="K185"/>
  <c r="C185"/>
  <c r="H184"/>
  <c r="M183"/>
  <c r="E183"/>
  <c r="J182"/>
  <c r="B182"/>
  <c r="G181"/>
  <c r="L180"/>
  <c r="D180"/>
  <c r="I179"/>
  <c r="A179"/>
  <c r="F178"/>
  <c r="K177"/>
  <c r="C177"/>
  <c r="H176"/>
  <c r="M175"/>
  <c r="E175"/>
  <c r="J174"/>
  <c r="B174"/>
  <c r="G173"/>
  <c r="L172"/>
  <c r="D172"/>
  <c r="I171"/>
  <c r="A171"/>
  <c r="F170"/>
  <c r="K169"/>
  <c r="C169"/>
  <c r="H168"/>
  <c r="M167"/>
  <c r="E167"/>
  <c r="J166"/>
  <c r="B166"/>
  <c r="G165"/>
  <c r="L164"/>
  <c r="D164"/>
  <c r="I163"/>
  <c r="A163"/>
  <c r="F162"/>
  <c r="K161"/>
  <c r="C161"/>
  <c r="H160"/>
  <c r="M159"/>
  <c r="E159"/>
  <c r="J158"/>
  <c r="B158"/>
  <c r="G157"/>
  <c r="L156"/>
  <c r="D156"/>
  <c r="I155"/>
  <c r="A155"/>
  <c r="F154"/>
  <c r="K153"/>
  <c r="C153"/>
  <c r="H152"/>
  <c r="M151"/>
  <c r="E151"/>
  <c r="J150"/>
  <c r="B150"/>
  <c r="G149"/>
  <c r="L148"/>
  <c r="D148"/>
  <c r="I147"/>
  <c r="A147"/>
  <c r="F146"/>
  <c r="K145"/>
  <c r="C145"/>
  <c r="H144"/>
  <c r="M143"/>
  <c r="E143"/>
  <c r="J142"/>
  <c r="B142"/>
  <c r="G141"/>
  <c r="L140"/>
  <c r="D140"/>
  <c r="I139"/>
  <c r="A139"/>
  <c r="F138"/>
  <c r="K137"/>
  <c r="C137"/>
  <c r="H136"/>
  <c r="M135"/>
  <c r="E135"/>
  <c r="K134"/>
  <c r="C134"/>
  <c r="I133"/>
  <c r="A133"/>
  <c r="G132"/>
  <c r="M131"/>
  <c r="E131"/>
  <c r="K130"/>
  <c r="C130"/>
  <c r="I129"/>
  <c r="A129"/>
  <c r="G128"/>
  <c r="M127"/>
  <c r="E127"/>
  <c r="K126"/>
  <c r="C126"/>
  <c r="I125"/>
  <c r="A125"/>
  <c r="G124"/>
  <c r="M123"/>
  <c r="E123"/>
  <c r="K122"/>
  <c r="C122"/>
  <c r="I121"/>
  <c r="A121"/>
  <c r="G120"/>
  <c r="M119"/>
  <c r="E119"/>
  <c r="K118"/>
  <c r="C118"/>
  <c r="I117"/>
  <c r="A117"/>
  <c r="G116"/>
  <c r="M115"/>
  <c r="E115"/>
  <c r="K114"/>
  <c r="C114"/>
  <c r="I113"/>
  <c r="A113"/>
  <c r="G112"/>
  <c r="M111"/>
  <c r="E111"/>
  <c r="K110"/>
  <c r="C110"/>
  <c r="M230" i="4"/>
  <c r="D184"/>
  <c r="B153"/>
  <c r="A125"/>
  <c r="F98"/>
  <c r="G71"/>
  <c r="I47"/>
  <c r="M24"/>
  <c r="C17"/>
  <c r="K12"/>
  <c r="C10"/>
  <c r="I7"/>
  <c r="D608" i="3"/>
  <c r="B602"/>
  <c r="M595"/>
  <c r="C589"/>
  <c r="A583"/>
  <c r="D576"/>
  <c r="B570"/>
  <c r="M563"/>
  <c r="C557"/>
  <c r="A551"/>
  <c r="D544"/>
  <c r="B538"/>
  <c r="M531"/>
  <c r="C525"/>
  <c r="A519"/>
  <c r="D512"/>
  <c r="B506"/>
  <c r="M499"/>
  <c r="C493"/>
  <c r="A487"/>
  <c r="D480"/>
  <c r="B474"/>
  <c r="M467"/>
  <c r="C461"/>
  <c r="A455"/>
  <c r="D448"/>
  <c r="B442"/>
  <c r="M435"/>
  <c r="C429"/>
  <c r="A423"/>
  <c r="D416"/>
  <c r="B410"/>
  <c r="C405"/>
  <c r="J402"/>
  <c r="D400"/>
  <c r="K397"/>
  <c r="E395"/>
  <c r="L392"/>
  <c r="F390"/>
  <c r="M387"/>
  <c r="G385"/>
  <c r="A383"/>
  <c r="H380"/>
  <c r="B378"/>
  <c r="I375"/>
  <c r="C373"/>
  <c r="J370"/>
  <c r="D368"/>
  <c r="K365"/>
  <c r="E363"/>
  <c r="L360"/>
  <c r="F358"/>
  <c r="M355"/>
  <c r="G353"/>
  <c r="A351"/>
  <c r="H348"/>
  <c r="B346"/>
  <c r="I343"/>
  <c r="C341"/>
  <c r="J338"/>
  <c r="D336"/>
  <c r="K333"/>
  <c r="E331"/>
  <c r="L328"/>
  <c r="F326"/>
  <c r="M323"/>
  <c r="G321"/>
  <c r="A319"/>
  <c r="H316"/>
  <c r="B314"/>
  <c r="I311"/>
  <c r="C309"/>
  <c r="J306"/>
  <c r="D304"/>
  <c r="K301"/>
  <c r="E299"/>
  <c r="K296"/>
  <c r="E294"/>
  <c r="L291"/>
  <c r="F289"/>
  <c r="M286"/>
  <c r="G284"/>
  <c r="B282"/>
  <c r="H280"/>
  <c r="M278"/>
  <c r="C277"/>
  <c r="I275"/>
  <c r="A274"/>
  <c r="D272"/>
  <c r="J270"/>
  <c r="B269"/>
  <c r="E267"/>
  <c r="K265"/>
  <c r="C264"/>
  <c r="F262"/>
  <c r="L260"/>
  <c r="D259"/>
  <c r="G257"/>
  <c r="M255"/>
  <c r="E254"/>
  <c r="H252"/>
  <c r="A251"/>
  <c r="F249"/>
  <c r="I247"/>
  <c r="B246"/>
  <c r="G244"/>
  <c r="J242"/>
  <c r="C241"/>
  <c r="H239"/>
  <c r="K237"/>
  <c r="D236"/>
  <c r="I234"/>
  <c r="L232"/>
  <c r="E231"/>
  <c r="J229"/>
  <c r="M227"/>
  <c r="F226"/>
  <c r="K224"/>
  <c r="F223"/>
  <c r="K222"/>
  <c r="C222"/>
  <c r="H221"/>
  <c r="M220"/>
  <c r="E220"/>
  <c r="J219"/>
  <c r="B219"/>
  <c r="G218"/>
  <c r="L217"/>
  <c r="D217"/>
  <c r="I216"/>
  <c r="A216"/>
  <c r="F215"/>
  <c r="K214"/>
  <c r="C214"/>
  <c r="H213"/>
  <c r="M212"/>
  <c r="E212"/>
  <c r="J211"/>
  <c r="B211"/>
  <c r="G210"/>
  <c r="L209"/>
  <c r="D209"/>
  <c r="I208"/>
  <c r="A208"/>
  <c r="F207"/>
  <c r="K206"/>
  <c r="C206"/>
  <c r="H205"/>
  <c r="M204"/>
  <c r="E204"/>
  <c r="J203"/>
  <c r="B203"/>
  <c r="G202"/>
  <c r="L201"/>
  <c r="D201"/>
  <c r="I200"/>
  <c r="A200"/>
  <c r="F199"/>
  <c r="K198"/>
  <c r="C198"/>
  <c r="H197"/>
  <c r="M196"/>
  <c r="E196"/>
  <c r="J195"/>
  <c r="B195"/>
  <c r="G194"/>
  <c r="L193"/>
  <c r="D193"/>
  <c r="I192"/>
  <c r="A192"/>
  <c r="F191"/>
  <c r="K190"/>
  <c r="C190"/>
  <c r="H189"/>
  <c r="M188"/>
  <c r="E188"/>
  <c r="J187"/>
  <c r="B187"/>
  <c r="G186"/>
  <c r="L185"/>
  <c r="D185"/>
  <c r="I184"/>
  <c r="A184"/>
  <c r="F183"/>
  <c r="K182"/>
  <c r="C182"/>
  <c r="H181"/>
  <c r="M180"/>
  <c r="E180"/>
  <c r="J179"/>
  <c r="B179"/>
  <c r="G178"/>
  <c r="L177"/>
  <c r="D177"/>
  <c r="I176"/>
  <c r="A176"/>
  <c r="F175"/>
  <c r="K174"/>
  <c r="C174"/>
  <c r="H173"/>
  <c r="M172"/>
  <c r="E172"/>
  <c r="J171"/>
  <c r="B171"/>
  <c r="G170"/>
  <c r="L169"/>
  <c r="D169"/>
  <c r="I168"/>
  <c r="A168"/>
  <c r="F167"/>
  <c r="K166"/>
  <c r="C166"/>
  <c r="H165"/>
  <c r="M164"/>
  <c r="E164"/>
  <c r="J163"/>
  <c r="B163"/>
  <c r="G162"/>
  <c r="L161"/>
  <c r="D161"/>
  <c r="I160"/>
  <c r="A160"/>
  <c r="F159"/>
  <c r="K158"/>
  <c r="C158"/>
  <c r="H157"/>
  <c r="M156"/>
  <c r="E156"/>
  <c r="J155"/>
  <c r="B155"/>
  <c r="G154"/>
  <c r="L153"/>
  <c r="D153"/>
  <c r="I152"/>
  <c r="A152"/>
  <c r="F151"/>
  <c r="K150"/>
  <c r="C150"/>
  <c r="H149"/>
  <c r="M148"/>
  <c r="E148"/>
  <c r="J147"/>
  <c r="B147"/>
  <c r="G146"/>
  <c r="L145"/>
  <c r="D145"/>
  <c r="I144"/>
  <c r="A144"/>
  <c r="F143"/>
  <c r="K142"/>
  <c r="C142"/>
  <c r="H141"/>
  <c r="M140"/>
  <c r="E140"/>
  <c r="J139"/>
  <c r="B139"/>
  <c r="G138"/>
  <c r="L137"/>
  <c r="D137"/>
  <c r="I136"/>
  <c r="A136"/>
  <c r="F135"/>
  <c r="L134"/>
  <c r="D134"/>
  <c r="J133"/>
  <c r="B133"/>
  <c r="H132"/>
  <c r="N131"/>
  <c r="F131"/>
  <c r="L130"/>
  <c r="D130"/>
  <c r="J129"/>
  <c r="B129"/>
  <c r="H128"/>
  <c r="N127"/>
  <c r="F127"/>
  <c r="L126"/>
  <c r="D126"/>
  <c r="J125"/>
  <c r="B125"/>
  <c r="H124"/>
  <c r="N123"/>
  <c r="F123"/>
  <c r="L122"/>
  <c r="D122"/>
  <c r="J121"/>
  <c r="B121"/>
  <c r="H120"/>
  <c r="N119"/>
  <c r="F119"/>
  <c r="L118"/>
  <c r="D118"/>
  <c r="J117"/>
  <c r="B117"/>
  <c r="H116"/>
  <c r="N115"/>
  <c r="F115"/>
  <c r="L114"/>
  <c r="D114"/>
  <c r="J113"/>
  <c r="B113"/>
  <c r="H112"/>
  <c r="N111"/>
  <c r="F111"/>
  <c r="L110"/>
  <c r="D110"/>
  <c r="J109"/>
  <c r="D265" i="4"/>
  <c r="E188"/>
  <c r="B157"/>
  <c r="B128"/>
  <c r="A102"/>
  <c r="N74"/>
  <c r="M50"/>
  <c r="A28"/>
  <c r="N17"/>
  <c r="L12"/>
  <c r="D10"/>
  <c r="J7"/>
  <c r="M608" i="3"/>
  <c r="C602"/>
  <c r="A596"/>
  <c r="D589"/>
  <c r="B583"/>
  <c r="M576"/>
  <c r="C570"/>
  <c r="A564"/>
  <c r="D557"/>
  <c r="B551"/>
  <c r="M544"/>
  <c r="C538"/>
  <c r="A532"/>
  <c r="D525"/>
  <c r="B519"/>
  <c r="M512"/>
  <c r="C506"/>
  <c r="A500"/>
  <c r="D493"/>
  <c r="B487"/>
  <c r="M480"/>
  <c r="C474"/>
  <c r="A468"/>
  <c r="D461"/>
  <c r="B455"/>
  <c r="M448"/>
  <c r="C442"/>
  <c r="A436"/>
  <c r="D429"/>
  <c r="B423"/>
  <c r="M416"/>
  <c r="C410"/>
  <c r="D405"/>
  <c r="K402"/>
  <c r="E400"/>
  <c r="L397"/>
  <c r="F395"/>
  <c r="M392"/>
  <c r="G390"/>
  <c r="A388"/>
  <c r="H385"/>
  <c r="B383"/>
  <c r="I380"/>
  <c r="C378"/>
  <c r="J375"/>
  <c r="D373"/>
  <c r="K370"/>
  <c r="E368"/>
  <c r="L365"/>
  <c r="F363"/>
  <c r="M360"/>
  <c r="G358"/>
  <c r="A356"/>
  <c r="H353"/>
  <c r="B351"/>
  <c r="I348"/>
  <c r="C346"/>
  <c r="J343"/>
  <c r="D341"/>
  <c r="K338"/>
  <c r="E336"/>
  <c r="L333"/>
  <c r="F331"/>
  <c r="M328"/>
  <c r="G326"/>
  <c r="A324"/>
  <c r="H321"/>
  <c r="B319"/>
  <c r="I316"/>
  <c r="C314"/>
  <c r="J311"/>
  <c r="D309"/>
  <c r="K306"/>
  <c r="E304"/>
  <c r="L301"/>
  <c r="F299"/>
  <c r="M296"/>
  <c r="F294"/>
  <c r="M291"/>
  <c r="G289"/>
  <c r="A287"/>
  <c r="H284"/>
  <c r="F282"/>
  <c r="K280"/>
  <c r="A279"/>
  <c r="G277"/>
  <c r="L275"/>
  <c r="B274"/>
  <c r="H272"/>
  <c r="M270"/>
  <c r="C269"/>
  <c r="I267"/>
  <c r="A266"/>
  <c r="D264"/>
  <c r="J262"/>
  <c r="B261"/>
  <c r="E259"/>
  <c r="K257"/>
  <c r="C256"/>
  <c r="F254"/>
  <c r="L252"/>
  <c r="D251"/>
  <c r="G249"/>
  <c r="M247"/>
  <c r="E246"/>
  <c r="H244"/>
  <c r="A243"/>
  <c r="F241"/>
  <c r="I239"/>
  <c r="B238"/>
  <c r="G236"/>
  <c r="J234"/>
  <c r="C233"/>
  <c r="H231"/>
  <c r="K229"/>
  <c r="D228"/>
  <c r="I226"/>
  <c r="L224"/>
  <c r="G223"/>
  <c r="L222"/>
  <c r="D222"/>
  <c r="I221"/>
  <c r="A221"/>
  <c r="F220"/>
  <c r="K219"/>
  <c r="C219"/>
  <c r="H218"/>
  <c r="M217"/>
  <c r="E217"/>
  <c r="J216"/>
  <c r="B216"/>
  <c r="G215"/>
  <c r="L214"/>
  <c r="D214"/>
  <c r="I213"/>
  <c r="A213"/>
  <c r="F212"/>
  <c r="K211"/>
  <c r="C211"/>
  <c r="H210"/>
  <c r="M209"/>
  <c r="E209"/>
  <c r="J208"/>
  <c r="B208"/>
  <c r="G207"/>
  <c r="L206"/>
  <c r="D206"/>
  <c r="I205"/>
  <c r="A205"/>
  <c r="F204"/>
  <c r="K203"/>
  <c r="C203"/>
  <c r="H202"/>
  <c r="M201"/>
  <c r="E201"/>
  <c r="J200"/>
  <c r="B200"/>
  <c r="G199"/>
  <c r="L198"/>
  <c r="D198"/>
  <c r="I197"/>
  <c r="A197"/>
  <c r="F196"/>
  <c r="K195"/>
  <c r="C195"/>
  <c r="H194"/>
  <c r="M193"/>
  <c r="E193"/>
  <c r="J192"/>
  <c r="B192"/>
  <c r="G191"/>
  <c r="L190"/>
  <c r="D190"/>
  <c r="I189"/>
  <c r="A189"/>
  <c r="F188"/>
  <c r="K187"/>
  <c r="C187"/>
  <c r="H186"/>
  <c r="M185"/>
  <c r="E185"/>
  <c r="J184"/>
  <c r="B184"/>
  <c r="G183"/>
  <c r="L182"/>
  <c r="D182"/>
  <c r="I181"/>
  <c r="A181"/>
  <c r="F180"/>
  <c r="K179"/>
  <c r="C179"/>
  <c r="H178"/>
  <c r="M177"/>
  <c r="E177"/>
  <c r="J176"/>
  <c r="B176"/>
  <c r="G175"/>
  <c r="L174"/>
  <c r="D174"/>
  <c r="I173"/>
  <c r="A173"/>
  <c r="F172"/>
  <c r="K171"/>
  <c r="C171"/>
  <c r="H170"/>
  <c r="M169"/>
  <c r="E169"/>
  <c r="J168"/>
  <c r="B168"/>
  <c r="G167"/>
  <c r="L166"/>
  <c r="D166"/>
  <c r="I165"/>
  <c r="A165"/>
  <c r="F164"/>
  <c r="K163"/>
  <c r="C163"/>
  <c r="H162"/>
  <c r="M161"/>
  <c r="E161"/>
  <c r="J160"/>
  <c r="B160"/>
  <c r="G159"/>
  <c r="L158"/>
  <c r="D158"/>
  <c r="I157"/>
  <c r="A157"/>
  <c r="F156"/>
  <c r="K155"/>
  <c r="C155"/>
  <c r="H154"/>
  <c r="M153"/>
  <c r="E153"/>
  <c r="J152"/>
  <c r="B152"/>
  <c r="G151"/>
  <c r="L150"/>
  <c r="D150"/>
  <c r="I149"/>
  <c r="A149"/>
  <c r="F148"/>
  <c r="K147"/>
  <c r="C147"/>
  <c r="H146"/>
  <c r="M145"/>
  <c r="E145"/>
  <c r="J144"/>
  <c r="B144"/>
  <c r="G143"/>
  <c r="L142"/>
  <c r="D142"/>
  <c r="I141"/>
  <c r="A141"/>
  <c r="F140"/>
  <c r="K139"/>
  <c r="C139"/>
  <c r="H138"/>
  <c r="M137"/>
  <c r="E137"/>
  <c r="J136"/>
  <c r="B136"/>
  <c r="G135"/>
  <c r="M134"/>
  <c r="E134"/>
  <c r="K133"/>
  <c r="C133"/>
  <c r="I132"/>
  <c r="A132"/>
  <c r="G131"/>
  <c r="M130"/>
  <c r="E130"/>
  <c r="K129"/>
  <c r="C129"/>
  <c r="I128"/>
  <c r="A128"/>
  <c r="G127"/>
  <c r="M126"/>
  <c r="E126"/>
  <c r="K125"/>
  <c r="C125"/>
  <c r="I124"/>
  <c r="A124"/>
  <c r="G123"/>
  <c r="M122"/>
  <c r="E122"/>
  <c r="K121"/>
  <c r="C121"/>
  <c r="I120"/>
  <c r="A120"/>
  <c r="G119"/>
  <c r="M118"/>
  <c r="E118"/>
  <c r="K117"/>
  <c r="C117"/>
  <c r="I116"/>
  <c r="A116"/>
  <c r="G115"/>
  <c r="M114"/>
  <c r="E114"/>
  <c r="K113"/>
  <c r="C113"/>
  <c r="I112"/>
  <c r="A112"/>
  <c r="G111"/>
  <c r="M110"/>
  <c r="E110"/>
  <c r="E305" i="4"/>
  <c r="B193"/>
  <c r="B161"/>
  <c r="E131"/>
  <c r="C105"/>
  <c r="D78"/>
  <c r="L53"/>
  <c r="H30"/>
  <c r="I18"/>
  <c r="F13"/>
  <c r="M10"/>
  <c r="C8"/>
  <c r="M611" i="3"/>
  <c r="M603"/>
  <c r="C597"/>
  <c r="A591"/>
  <c r="D584"/>
  <c r="B578"/>
  <c r="M571"/>
  <c r="C565"/>
  <c r="A559"/>
  <c r="D552"/>
  <c r="B546"/>
  <c r="M539"/>
  <c r="C533"/>
  <c r="A527"/>
  <c r="D520"/>
  <c r="B514"/>
  <c r="M507"/>
  <c r="C501"/>
  <c r="A495"/>
  <c r="D488"/>
  <c r="B482"/>
  <c r="M475"/>
  <c r="C469"/>
  <c r="A463"/>
  <c r="D456"/>
  <c r="B450"/>
  <c r="M443"/>
  <c r="C437"/>
  <c r="A431"/>
  <c r="D424"/>
  <c r="B418"/>
  <c r="M411"/>
  <c r="K405"/>
  <c r="E403"/>
  <c r="L400"/>
  <c r="F398"/>
  <c r="M395"/>
  <c r="G393"/>
  <c r="A391"/>
  <c r="H388"/>
  <c r="B386"/>
  <c r="I383"/>
  <c r="C381"/>
  <c r="J378"/>
  <c r="D376"/>
  <c r="K373"/>
  <c r="E371"/>
  <c r="L368"/>
  <c r="F366"/>
  <c r="M363"/>
  <c r="G361"/>
  <c r="A359"/>
  <c r="H356"/>
  <c r="B354"/>
  <c r="I351"/>
  <c r="C349"/>
  <c r="J346"/>
  <c r="D344"/>
  <c r="K341"/>
  <c r="E339"/>
  <c r="L336"/>
  <c r="F334"/>
  <c r="M331"/>
  <c r="G329"/>
  <c r="A327"/>
  <c r="H324"/>
  <c r="B322"/>
  <c r="I319"/>
  <c r="C317"/>
  <c r="J314"/>
  <c r="D312"/>
  <c r="K309"/>
  <c r="E307"/>
  <c r="L304"/>
  <c r="F302"/>
  <c r="M299"/>
  <c r="G297"/>
  <c r="M294"/>
  <c r="G292"/>
  <c r="A290"/>
  <c r="H287"/>
  <c r="B285"/>
  <c r="I282"/>
  <c r="L280"/>
  <c r="E279"/>
  <c r="J277"/>
  <c r="M275"/>
  <c r="F274"/>
  <c r="K272"/>
  <c r="A271"/>
  <c r="G269"/>
  <c r="L267"/>
  <c r="B266"/>
  <c r="H264"/>
  <c r="M262"/>
  <c r="C261"/>
  <c r="I259"/>
  <c r="A258"/>
  <c r="D256"/>
  <c r="J254"/>
  <c r="B253"/>
  <c r="E251"/>
  <c r="K249"/>
  <c r="C248"/>
  <c r="F246"/>
  <c r="L244"/>
  <c r="D243"/>
  <c r="G241"/>
  <c r="M239"/>
  <c r="E238"/>
  <c r="H236"/>
  <c r="A235"/>
  <c r="F233"/>
  <c r="I231"/>
  <c r="B230"/>
  <c r="G228"/>
  <c r="J226"/>
  <c r="C225"/>
  <c r="H223"/>
  <c r="M222"/>
  <c r="E222"/>
  <c r="J221"/>
  <c r="B221"/>
  <c r="G220"/>
  <c r="L219"/>
  <c r="D219"/>
  <c r="I218"/>
  <c r="A218"/>
  <c r="F217"/>
  <c r="K216"/>
  <c r="C216"/>
  <c r="H215"/>
  <c r="M214"/>
  <c r="E214"/>
  <c r="J213"/>
  <c r="B213"/>
  <c r="G212"/>
  <c r="L211"/>
  <c r="D211"/>
  <c r="I210"/>
  <c r="A210"/>
  <c r="F209"/>
  <c r="K208"/>
  <c r="C208"/>
  <c r="H207"/>
  <c r="M206"/>
  <c r="E206"/>
  <c r="J205"/>
  <c r="B205"/>
  <c r="G204"/>
  <c r="L203"/>
  <c r="D203"/>
  <c r="I202"/>
  <c r="A202"/>
  <c r="F201"/>
  <c r="K200"/>
  <c r="C200"/>
  <c r="H199"/>
  <c r="M198"/>
  <c r="E198"/>
  <c r="J197"/>
  <c r="B197"/>
  <c r="G196"/>
  <c r="L195"/>
  <c r="D195"/>
  <c r="I194"/>
  <c r="A194"/>
  <c r="F193"/>
  <c r="K192"/>
  <c r="C192"/>
  <c r="H191"/>
  <c r="M190"/>
  <c r="E190"/>
  <c r="J189"/>
  <c r="B189"/>
  <c r="G188"/>
  <c r="L187"/>
  <c r="D187"/>
  <c r="I186"/>
  <c r="A186"/>
  <c r="F185"/>
  <c r="K184"/>
  <c r="C184"/>
  <c r="H183"/>
  <c r="M182"/>
  <c r="E182"/>
  <c r="J181"/>
  <c r="B181"/>
  <c r="G180"/>
  <c r="L179"/>
  <c r="D179"/>
  <c r="I178"/>
  <c r="A178"/>
  <c r="F177"/>
  <c r="K176"/>
  <c r="C176"/>
  <c r="H175"/>
  <c r="M174"/>
  <c r="E174"/>
  <c r="J173"/>
  <c r="B173"/>
  <c r="G172"/>
  <c r="L171"/>
  <c r="D171"/>
  <c r="I170"/>
  <c r="A170"/>
  <c r="F169"/>
  <c r="K168"/>
  <c r="C168"/>
  <c r="H167"/>
  <c r="M166"/>
  <c r="E166"/>
  <c r="J165"/>
  <c r="B165"/>
  <c r="G164"/>
  <c r="L163"/>
  <c r="D163"/>
  <c r="I162"/>
  <c r="A162"/>
  <c r="F161"/>
  <c r="K160"/>
  <c r="C160"/>
  <c r="H159"/>
  <c r="M158"/>
  <c r="E158"/>
  <c r="J157"/>
  <c r="B157"/>
  <c r="G156"/>
  <c r="L155"/>
  <c r="D155"/>
  <c r="I154"/>
  <c r="A154"/>
  <c r="F153"/>
  <c r="K152"/>
  <c r="C152"/>
  <c r="H151"/>
  <c r="M150"/>
  <c r="E150"/>
  <c r="J149"/>
  <c r="B149"/>
  <c r="G148"/>
  <c r="L147"/>
  <c r="D147"/>
  <c r="I146"/>
  <c r="A146"/>
  <c r="F145"/>
  <c r="K144"/>
  <c r="C144"/>
  <c r="H143"/>
  <c r="M142"/>
  <c r="E142"/>
  <c r="J141"/>
  <c r="B141"/>
  <c r="G140"/>
  <c r="L139"/>
  <c r="D139"/>
  <c r="I138"/>
  <c r="A138"/>
  <c r="F137"/>
  <c r="K136"/>
  <c r="C136"/>
  <c r="H135"/>
  <c r="N134"/>
  <c r="F134"/>
  <c r="L133"/>
  <c r="D133"/>
  <c r="J132"/>
  <c r="B132"/>
  <c r="H131"/>
  <c r="N130"/>
  <c r="F130"/>
  <c r="L129"/>
  <c r="D129"/>
  <c r="J128"/>
  <c r="B128"/>
  <c r="H127"/>
  <c r="N126"/>
  <c r="F126"/>
  <c r="L125"/>
  <c r="D125"/>
  <c r="J124"/>
  <c r="B124"/>
  <c r="H123"/>
  <c r="N122"/>
  <c r="F122"/>
  <c r="L121"/>
  <c r="D121"/>
  <c r="J120"/>
  <c r="B120"/>
  <c r="H119"/>
  <c r="N118"/>
  <c r="F118"/>
  <c r="L117"/>
  <c r="D117"/>
  <c r="J116"/>
  <c r="B116"/>
  <c r="H115"/>
  <c r="N114"/>
  <c r="F114"/>
  <c r="L113"/>
  <c r="D113"/>
  <c r="J112"/>
  <c r="B112"/>
  <c r="H111"/>
  <c r="N110"/>
  <c r="F110"/>
  <c r="L109"/>
  <c r="C342" i="4"/>
  <c r="F197"/>
  <c r="I164"/>
  <c r="N134"/>
  <c r="F108"/>
  <c r="M81"/>
  <c r="I56"/>
  <c r="B33"/>
  <c r="F19"/>
  <c r="B14"/>
  <c r="N10"/>
  <c r="D8"/>
  <c r="M612" i="3"/>
  <c r="A604"/>
  <c r="D597"/>
  <c r="B591"/>
  <c r="M584"/>
  <c r="C578"/>
  <c r="A572"/>
  <c r="D565"/>
  <c r="B559"/>
  <c r="M552"/>
  <c r="C546"/>
  <c r="A540"/>
  <c r="D533"/>
  <c r="B527"/>
  <c r="M520"/>
  <c r="C514"/>
  <c r="A508"/>
  <c r="D501"/>
  <c r="B495"/>
  <c r="M488"/>
  <c r="C482"/>
  <c r="A476"/>
  <c r="D469"/>
  <c r="B463"/>
  <c r="M456"/>
  <c r="C450"/>
  <c r="A444"/>
  <c r="D437"/>
  <c r="B431"/>
  <c r="M424"/>
  <c r="C418"/>
  <c r="A412"/>
  <c r="L405"/>
  <c r="F403"/>
  <c r="M400"/>
  <c r="G398"/>
  <c r="A396"/>
  <c r="H393"/>
  <c r="B391"/>
  <c r="I388"/>
  <c r="C386"/>
  <c r="J383"/>
  <c r="D381"/>
  <c r="K378"/>
  <c r="E376"/>
  <c r="L373"/>
  <c r="F371"/>
  <c r="M368"/>
  <c r="G366"/>
  <c r="A364"/>
  <c r="H361"/>
  <c r="B359"/>
  <c r="I356"/>
  <c r="C354"/>
  <c r="J351"/>
  <c r="D349"/>
  <c r="K346"/>
  <c r="E344"/>
  <c r="L341"/>
  <c r="F339"/>
  <c r="M336"/>
  <c r="G334"/>
  <c r="A332"/>
  <c r="H329"/>
  <c r="B327"/>
  <c r="I324"/>
  <c r="C322"/>
  <c r="J319"/>
  <c r="D317"/>
  <c r="K314"/>
  <c r="E312"/>
  <c r="L309"/>
  <c r="F307"/>
  <c r="M304"/>
  <c r="G302"/>
  <c r="A300"/>
  <c r="H297"/>
  <c r="A295"/>
  <c r="H292"/>
  <c r="B290"/>
  <c r="I287"/>
  <c r="C285"/>
  <c r="J282"/>
  <c r="C281"/>
  <c r="H279"/>
  <c r="K277"/>
  <c r="D276"/>
  <c r="I274"/>
  <c r="L272"/>
  <c r="E271"/>
  <c r="J269"/>
  <c r="M267"/>
  <c r="F266"/>
  <c r="K264"/>
  <c r="A263"/>
  <c r="G261"/>
  <c r="L259"/>
  <c r="B258"/>
  <c r="H256"/>
  <c r="M254"/>
  <c r="C253"/>
  <c r="I251"/>
  <c r="A250"/>
  <c r="D248"/>
  <c r="J246"/>
  <c r="B245"/>
  <c r="E243"/>
  <c r="K241"/>
  <c r="C240"/>
  <c r="F238"/>
  <c r="L236"/>
  <c r="D235"/>
  <c r="G233"/>
  <c r="M231"/>
  <c r="E230"/>
  <c r="H228"/>
  <c r="A227"/>
  <c r="F225"/>
  <c r="I223"/>
  <c r="A223"/>
  <c r="F222"/>
  <c r="K221"/>
  <c r="C221"/>
  <c r="H220"/>
  <c r="M219"/>
  <c r="E219"/>
  <c r="J218"/>
  <c r="B218"/>
  <c r="G217"/>
  <c r="L216"/>
  <c r="D216"/>
  <c r="I215"/>
  <c r="A215"/>
  <c r="F214"/>
  <c r="K213"/>
  <c r="C213"/>
  <c r="H212"/>
  <c r="M211"/>
  <c r="E211"/>
  <c r="J210"/>
  <c r="B210"/>
  <c r="G209"/>
  <c r="L208"/>
  <c r="D208"/>
  <c r="I207"/>
  <c r="A207"/>
  <c r="F206"/>
  <c r="K205"/>
  <c r="C205"/>
  <c r="H204"/>
  <c r="M203"/>
  <c r="E203"/>
  <c r="J202"/>
  <c r="B202"/>
  <c r="G201"/>
  <c r="L200"/>
  <c r="D200"/>
  <c r="I199"/>
  <c r="A199"/>
  <c r="F198"/>
  <c r="K197"/>
  <c r="C197"/>
  <c r="H196"/>
  <c r="M195"/>
  <c r="E195"/>
  <c r="J194"/>
  <c r="B194"/>
  <c r="G193"/>
  <c r="L192"/>
  <c r="D192"/>
  <c r="I191"/>
  <c r="A191"/>
  <c r="F190"/>
  <c r="K189"/>
  <c r="C189"/>
  <c r="H188"/>
  <c r="M187"/>
  <c r="E187"/>
  <c r="J186"/>
  <c r="B186"/>
  <c r="G185"/>
  <c r="L184"/>
  <c r="D184"/>
  <c r="I183"/>
  <c r="A183"/>
  <c r="F182"/>
  <c r="K181"/>
  <c r="C181"/>
  <c r="H180"/>
  <c r="M179"/>
  <c r="E179"/>
  <c r="J178"/>
  <c r="B178"/>
  <c r="G177"/>
  <c r="L176"/>
  <c r="D176"/>
  <c r="I175"/>
  <c r="A175"/>
  <c r="F174"/>
  <c r="K173"/>
  <c r="C173"/>
  <c r="H172"/>
  <c r="M171"/>
  <c r="E171"/>
  <c r="J170"/>
  <c r="B170"/>
  <c r="G169"/>
  <c r="L168"/>
  <c r="D168"/>
  <c r="I167"/>
  <c r="A167"/>
  <c r="F166"/>
  <c r="K165"/>
  <c r="C165"/>
  <c r="H164"/>
  <c r="M163"/>
  <c r="E163"/>
  <c r="J162"/>
  <c r="B162"/>
  <c r="G161"/>
  <c r="L160"/>
  <c r="D160"/>
  <c r="I159"/>
  <c r="A159"/>
  <c r="F158"/>
  <c r="K157"/>
  <c r="C157"/>
  <c r="H156"/>
  <c r="M155"/>
  <c r="E155"/>
  <c r="J154"/>
  <c r="B154"/>
  <c r="G153"/>
  <c r="L152"/>
  <c r="D152"/>
  <c r="I151"/>
  <c r="A151"/>
  <c r="F150"/>
  <c r="K149"/>
  <c r="C149"/>
  <c r="H148"/>
  <c r="M147"/>
  <c r="E147"/>
  <c r="J146"/>
  <c r="B146"/>
  <c r="G145"/>
  <c r="L144"/>
  <c r="D144"/>
  <c r="I143"/>
  <c r="A143"/>
  <c r="F142"/>
  <c r="K141"/>
  <c r="C141"/>
  <c r="H140"/>
  <c r="M139"/>
  <c r="E139"/>
  <c r="J138"/>
  <c r="B138"/>
  <c r="G137"/>
  <c r="L136"/>
  <c r="D136"/>
  <c r="I135"/>
  <c r="A135"/>
  <c r="G134"/>
  <c r="M133"/>
  <c r="E133"/>
  <c r="K132"/>
  <c r="C132"/>
  <c r="I131"/>
  <c r="A131"/>
  <c r="G130"/>
  <c r="M129"/>
  <c r="E129"/>
  <c r="K128"/>
  <c r="C128"/>
  <c r="I127"/>
  <c r="A127"/>
  <c r="G126"/>
  <c r="M125"/>
  <c r="E125"/>
  <c r="K124"/>
  <c r="C124"/>
  <c r="I123"/>
  <c r="A123"/>
  <c r="G122"/>
  <c r="M121"/>
  <c r="E121"/>
  <c r="K120"/>
  <c r="C120"/>
  <c r="I119"/>
  <c r="A119"/>
  <c r="G118"/>
  <c r="M117"/>
  <c r="E117"/>
  <c r="K116"/>
  <c r="C116"/>
  <c r="I115"/>
  <c r="A115"/>
  <c r="G114"/>
  <c r="M113"/>
  <c r="E113"/>
  <c r="K112"/>
  <c r="C112"/>
  <c r="I111"/>
  <c r="A111"/>
  <c r="G110"/>
  <c r="M109"/>
  <c r="M387" i="4"/>
  <c r="B203"/>
  <c r="H168"/>
  <c r="E138"/>
  <c r="H111"/>
  <c r="C85"/>
  <c r="G59"/>
  <c r="B36"/>
  <c r="B20"/>
  <c r="J14"/>
  <c r="G11"/>
  <c r="L8"/>
  <c r="F6"/>
  <c r="C605" i="3"/>
  <c r="A599"/>
  <c r="D592"/>
  <c r="B586"/>
  <c r="M579"/>
  <c r="C573"/>
  <c r="A567"/>
  <c r="D560"/>
  <c r="B554"/>
  <c r="M547"/>
  <c r="C541"/>
  <c r="A535"/>
  <c r="D528"/>
  <c r="B522"/>
  <c r="M515"/>
  <c r="C509"/>
  <c r="A503"/>
  <c r="D496"/>
  <c r="B490"/>
  <c r="M483"/>
  <c r="C477"/>
  <c r="A471"/>
  <c r="D464"/>
  <c r="B458"/>
  <c r="M451"/>
  <c r="C445"/>
  <c r="A439"/>
  <c r="D432"/>
  <c r="B426"/>
  <c r="M419"/>
  <c r="C413"/>
  <c r="A407"/>
  <c r="M403"/>
  <c r="G401"/>
  <c r="A399"/>
  <c r="H396"/>
  <c r="B394"/>
  <c r="I391"/>
  <c r="C389"/>
  <c r="J386"/>
  <c r="D384"/>
  <c r="K381"/>
  <c r="E379"/>
  <c r="L376"/>
  <c r="F374"/>
  <c r="M371"/>
  <c r="G369"/>
  <c r="A367"/>
  <c r="H364"/>
  <c r="B362"/>
  <c r="I359"/>
  <c r="C357"/>
  <c r="J354"/>
  <c r="D352"/>
  <c r="K349"/>
  <c r="E347"/>
  <c r="L344"/>
  <c r="F342"/>
  <c r="M339"/>
  <c r="G337"/>
  <c r="A335"/>
  <c r="H332"/>
  <c r="B330"/>
  <c r="I327"/>
  <c r="C325"/>
  <c r="J322"/>
  <c r="D320"/>
  <c r="K317"/>
  <c r="E315"/>
  <c r="L312"/>
  <c r="F310"/>
  <c r="M307"/>
  <c r="G305"/>
  <c r="A303"/>
  <c r="H300"/>
  <c r="B298"/>
  <c r="H295"/>
  <c r="B293"/>
  <c r="I290"/>
  <c r="C288"/>
  <c r="J285"/>
  <c r="D283"/>
  <c r="F281"/>
  <c r="I279"/>
  <c r="B278"/>
  <c r="G276"/>
  <c r="J274"/>
  <c r="C273"/>
  <c r="H271"/>
  <c r="K269"/>
  <c r="D268"/>
  <c r="I266"/>
  <c r="L264"/>
  <c r="E263"/>
  <c r="J261"/>
  <c r="M259"/>
  <c r="F258"/>
  <c r="K256"/>
  <c r="A255"/>
  <c r="G253"/>
  <c r="L251"/>
  <c r="B250"/>
  <c r="H248"/>
  <c r="M246"/>
  <c r="C245"/>
  <c r="I243"/>
  <c r="A242"/>
  <c r="D240"/>
  <c r="J238"/>
  <c r="B237"/>
  <c r="E235"/>
  <c r="K233"/>
  <c r="C232"/>
  <c r="F230"/>
  <c r="L228"/>
  <c r="D227"/>
  <c r="G225"/>
  <c r="M223"/>
  <c r="B223"/>
  <c r="G222"/>
  <c r="L221"/>
  <c r="D221"/>
  <c r="I220"/>
  <c r="A220"/>
  <c r="F219"/>
  <c r="K218"/>
  <c r="C218"/>
  <c r="H217"/>
  <c r="M216"/>
  <c r="E216"/>
  <c r="J215"/>
  <c r="B215"/>
  <c r="G214"/>
  <c r="L213"/>
  <c r="D213"/>
  <c r="I212"/>
  <c r="A212"/>
  <c r="F211"/>
  <c r="K210"/>
  <c r="C210"/>
  <c r="H209"/>
  <c r="M208"/>
  <c r="E208"/>
  <c r="J207"/>
  <c r="B207"/>
  <c r="G206"/>
  <c r="L205"/>
  <c r="D205"/>
  <c r="I204"/>
  <c r="A204"/>
  <c r="F203"/>
  <c r="K202"/>
  <c r="C202"/>
  <c r="H201"/>
  <c r="M200"/>
  <c r="E200"/>
  <c r="J199"/>
  <c r="B199"/>
  <c r="G198"/>
  <c r="L197"/>
  <c r="D197"/>
  <c r="I196"/>
  <c r="A196"/>
  <c r="F195"/>
  <c r="K194"/>
  <c r="C194"/>
  <c r="H193"/>
  <c r="M192"/>
  <c r="E192"/>
  <c r="J191"/>
  <c r="B191"/>
  <c r="G190"/>
  <c r="L189"/>
  <c r="A438" i="4"/>
  <c r="E208"/>
  <c r="I172"/>
  <c r="N141"/>
  <c r="M114"/>
  <c r="F88"/>
  <c r="F62"/>
  <c r="A39"/>
  <c r="K20"/>
  <c r="D15"/>
  <c r="H11"/>
  <c r="M8"/>
  <c r="G6"/>
  <c r="D605" i="3"/>
  <c r="B599"/>
  <c r="M592"/>
  <c r="C586"/>
  <c r="A580"/>
  <c r="D573"/>
  <c r="B567"/>
  <c r="M560"/>
  <c r="C554"/>
  <c r="A548"/>
  <c r="D541"/>
  <c r="B535"/>
  <c r="M528"/>
  <c r="C522"/>
  <c r="A516"/>
  <c r="D509"/>
  <c r="B503"/>
  <c r="M496"/>
  <c r="C490"/>
  <c r="A484"/>
  <c r="D477"/>
  <c r="B471"/>
  <c r="M464"/>
  <c r="C458"/>
  <c r="A452"/>
  <c r="D445"/>
  <c r="B439"/>
  <c r="M432"/>
  <c r="C426"/>
  <c r="A420"/>
  <c r="D413"/>
  <c r="B407"/>
  <c r="A404"/>
  <c r="H401"/>
  <c r="B399"/>
  <c r="I396"/>
  <c r="C394"/>
  <c r="J391"/>
  <c r="D389"/>
  <c r="K386"/>
  <c r="E384"/>
  <c r="L381"/>
  <c r="F379"/>
  <c r="M376"/>
  <c r="G374"/>
  <c r="A372"/>
  <c r="H369"/>
  <c r="B367"/>
  <c r="I364"/>
  <c r="C362"/>
  <c r="J359"/>
  <c r="D357"/>
  <c r="K354"/>
  <c r="E352"/>
  <c r="L349"/>
  <c r="F347"/>
  <c r="M344"/>
  <c r="G342"/>
  <c r="A340"/>
  <c r="H337"/>
  <c r="B335"/>
  <c r="I332"/>
  <c r="C330"/>
  <c r="J327"/>
  <c r="D325"/>
  <c r="K322"/>
  <c r="E320"/>
  <c r="L317"/>
  <c r="F315"/>
  <c r="M312"/>
  <c r="G310"/>
  <c r="A308"/>
  <c r="H305"/>
  <c r="B303"/>
  <c r="I300"/>
  <c r="C298"/>
  <c r="I295"/>
  <c r="C293"/>
  <c r="J290"/>
  <c r="D288"/>
  <c r="K285"/>
  <c r="E283"/>
  <c r="G281"/>
  <c r="M279"/>
  <c r="E278"/>
  <c r="H276"/>
  <c r="A275"/>
  <c r="F273"/>
  <c r="I271"/>
  <c r="B270"/>
  <c r="G268"/>
  <c r="J266"/>
  <c r="C265"/>
  <c r="H263"/>
  <c r="K261"/>
  <c r="D260"/>
  <c r="I258"/>
  <c r="L256"/>
  <c r="E255"/>
  <c r="J253"/>
  <c r="M251"/>
  <c r="F250"/>
  <c r="K248"/>
  <c r="A247"/>
  <c r="G245"/>
  <c r="L243"/>
  <c r="B242"/>
  <c r="H240"/>
  <c r="M238"/>
  <c r="C237"/>
  <c r="I235"/>
  <c r="A234"/>
  <c r="D232"/>
  <c r="J230"/>
  <c r="B229"/>
  <c r="E227"/>
  <c r="K225"/>
  <c r="C224"/>
  <c r="C223"/>
  <c r="H222"/>
  <c r="M221"/>
  <c r="E221"/>
  <c r="J220"/>
  <c r="B220"/>
  <c r="G219"/>
  <c r="L218"/>
  <c r="D218"/>
  <c r="I217"/>
  <c r="A217"/>
  <c r="F216"/>
  <c r="K215"/>
  <c r="C215"/>
  <c r="H214"/>
  <c r="M213"/>
  <c r="E213"/>
  <c r="J212"/>
  <c r="B212"/>
  <c r="G211"/>
  <c r="L210"/>
  <c r="D210"/>
  <c r="I209"/>
  <c r="A209"/>
  <c r="F208"/>
  <c r="K207"/>
  <c r="C207"/>
  <c r="H206"/>
  <c r="M205"/>
  <c r="E205"/>
  <c r="J204"/>
  <c r="B204"/>
  <c r="G203"/>
  <c r="L202"/>
  <c r="D202"/>
  <c r="I201"/>
  <c r="A201"/>
  <c r="F200"/>
  <c r="K199"/>
  <c r="C199"/>
  <c r="H198"/>
  <c r="M197"/>
  <c r="E197"/>
  <c r="J196"/>
  <c r="B196"/>
  <c r="G195"/>
  <c r="L194"/>
  <c r="D194"/>
  <c r="I193"/>
  <c r="A193"/>
  <c r="F192"/>
  <c r="K191"/>
  <c r="C191"/>
  <c r="H190"/>
  <c r="M189"/>
  <c r="E189"/>
  <c r="J188"/>
  <c r="B188"/>
  <c r="G187"/>
  <c r="L186"/>
  <c r="D186"/>
  <c r="I185"/>
  <c r="A185"/>
  <c r="F184"/>
  <c r="K183"/>
  <c r="C183"/>
  <c r="H182"/>
  <c r="M181"/>
  <c r="E181"/>
  <c r="J180"/>
  <c r="B180"/>
  <c r="G179"/>
  <c r="L178"/>
  <c r="D178"/>
  <c r="I177"/>
  <c r="A177"/>
  <c r="F176"/>
  <c r="K175"/>
  <c r="C175"/>
  <c r="H174"/>
  <c r="M173"/>
  <c r="E173"/>
  <c r="J172"/>
  <c r="B172"/>
  <c r="G171"/>
  <c r="L170"/>
  <c r="D170"/>
  <c r="I169"/>
  <c r="A169"/>
  <c r="F168"/>
  <c r="K167"/>
  <c r="C167"/>
  <c r="H166"/>
  <c r="M165"/>
  <c r="E165"/>
  <c r="J164"/>
  <c r="B164"/>
  <c r="G163"/>
  <c r="L162"/>
  <c r="D162"/>
  <c r="I161"/>
  <c r="A161"/>
  <c r="F160"/>
  <c r="K159"/>
  <c r="C159"/>
  <c r="H158"/>
  <c r="M157"/>
  <c r="E157"/>
  <c r="J156"/>
  <c r="B156"/>
  <c r="G155"/>
  <c r="L154"/>
  <c r="D154"/>
  <c r="I153"/>
  <c r="A153"/>
  <c r="F152"/>
  <c r="K151"/>
  <c r="C151"/>
  <c r="H150"/>
  <c r="M149"/>
  <c r="E149"/>
  <c r="J148"/>
  <c r="B148"/>
  <c r="G147"/>
  <c r="L146"/>
  <c r="N41" i="4"/>
  <c r="B594" i="3"/>
  <c r="A543"/>
  <c r="M491"/>
  <c r="D440"/>
  <c r="I399"/>
  <c r="M379"/>
  <c r="D360"/>
  <c r="H340"/>
  <c r="L320"/>
  <c r="C301"/>
  <c r="K281"/>
  <c r="H268"/>
  <c r="H255"/>
  <c r="F242"/>
  <c r="C229"/>
  <c r="K220"/>
  <c r="L215"/>
  <c r="M210"/>
  <c r="A206"/>
  <c r="B201"/>
  <c r="C196"/>
  <c r="D191"/>
  <c r="A188"/>
  <c r="H185"/>
  <c r="B183"/>
  <c r="I180"/>
  <c r="C178"/>
  <c r="J175"/>
  <c r="D173"/>
  <c r="K170"/>
  <c r="E168"/>
  <c r="L165"/>
  <c r="F163"/>
  <c r="M160"/>
  <c r="G158"/>
  <c r="A156"/>
  <c r="H153"/>
  <c r="B151"/>
  <c r="I148"/>
  <c r="D146"/>
  <c r="G144"/>
  <c r="B143"/>
  <c r="E141"/>
  <c r="H139"/>
  <c r="C138"/>
  <c r="F136"/>
  <c r="J134"/>
  <c r="F133"/>
  <c r="K131"/>
  <c r="B130"/>
  <c r="L128"/>
  <c r="C127"/>
  <c r="H125"/>
  <c r="D124"/>
  <c r="I122"/>
  <c r="N120"/>
  <c r="J119"/>
  <c r="A118"/>
  <c r="F116"/>
  <c r="B115"/>
  <c r="G113"/>
  <c r="L111"/>
  <c r="H110"/>
  <c r="F109"/>
  <c r="L108"/>
  <c r="D108"/>
  <c r="J107"/>
  <c r="B107"/>
  <c r="H106"/>
  <c r="N105"/>
  <c r="F105"/>
  <c r="L104"/>
  <c r="D104"/>
  <c r="J103"/>
  <c r="B103"/>
  <c r="H102"/>
  <c r="N101"/>
  <c r="F101"/>
  <c r="L100"/>
  <c r="D100"/>
  <c r="J99"/>
  <c r="B99"/>
  <c r="H98"/>
  <c r="N97"/>
  <c r="F97"/>
  <c r="L96"/>
  <c r="D96"/>
  <c r="I95"/>
  <c r="A95"/>
  <c r="G94"/>
  <c r="M93"/>
  <c r="E93"/>
  <c r="J92"/>
  <c r="B92"/>
  <c r="H91"/>
  <c r="N90"/>
  <c r="F90"/>
  <c r="L89"/>
  <c r="D89"/>
  <c r="J88"/>
  <c r="B88"/>
  <c r="H87"/>
  <c r="N86"/>
  <c r="F86"/>
  <c r="L85"/>
  <c r="D85"/>
  <c r="J84"/>
  <c r="B84"/>
  <c r="H83"/>
  <c r="N82"/>
  <c r="F82"/>
  <c r="L81"/>
  <c r="D81"/>
  <c r="J80"/>
  <c r="B80"/>
  <c r="H79"/>
  <c r="N78"/>
  <c r="F78"/>
  <c r="L77"/>
  <c r="D77"/>
  <c r="J76"/>
  <c r="B76"/>
  <c r="H75"/>
  <c r="N74"/>
  <c r="F74"/>
  <c r="L73"/>
  <c r="D73"/>
  <c r="J72"/>
  <c r="B72"/>
  <c r="H71"/>
  <c r="N70"/>
  <c r="F70"/>
  <c r="L69"/>
  <c r="D69"/>
  <c r="J68"/>
  <c r="B68"/>
  <c r="H67"/>
  <c r="N66"/>
  <c r="F66"/>
  <c r="L65"/>
  <c r="D65"/>
  <c r="J64"/>
  <c r="B64"/>
  <c r="H63"/>
  <c r="N62"/>
  <c r="F62"/>
  <c r="L61"/>
  <c r="D61"/>
  <c r="J60"/>
  <c r="B60"/>
  <c r="H59"/>
  <c r="N58"/>
  <c r="F58"/>
  <c r="L57"/>
  <c r="D57"/>
  <c r="J56"/>
  <c r="B56"/>
  <c r="H55"/>
  <c r="N54"/>
  <c r="F54"/>
  <c r="L53"/>
  <c r="D53"/>
  <c r="J52"/>
  <c r="B52"/>
  <c r="H51"/>
  <c r="N50"/>
  <c r="F50"/>
  <c r="L49"/>
  <c r="D49"/>
  <c r="J48"/>
  <c r="A48"/>
  <c r="G47"/>
  <c r="M46"/>
  <c r="E46"/>
  <c r="K45"/>
  <c r="C45"/>
  <c r="I44"/>
  <c r="A44"/>
  <c r="G43"/>
  <c r="M42"/>
  <c r="E42"/>
  <c r="K41"/>
  <c r="C41"/>
  <c r="I40"/>
  <c r="A40"/>
  <c r="G39"/>
  <c r="M38"/>
  <c r="E38"/>
  <c r="K37"/>
  <c r="C37"/>
  <c r="I36"/>
  <c r="A36"/>
  <c r="G35"/>
  <c r="M34"/>
  <c r="E34"/>
  <c r="K33"/>
  <c r="C33"/>
  <c r="I32"/>
  <c r="A32"/>
  <c r="G31"/>
  <c r="M30"/>
  <c r="E30"/>
  <c r="K29"/>
  <c r="C29"/>
  <c r="I28"/>
  <c r="A28"/>
  <c r="G27"/>
  <c r="M26"/>
  <c r="E26"/>
  <c r="K25"/>
  <c r="C25"/>
  <c r="I24"/>
  <c r="A24"/>
  <c r="G23"/>
  <c r="M22"/>
  <c r="E22"/>
  <c r="K21"/>
  <c r="C21"/>
  <c r="I20"/>
  <c r="A20"/>
  <c r="G19"/>
  <c r="M18"/>
  <c r="E18"/>
  <c r="K17"/>
  <c r="C17"/>
  <c r="I16"/>
  <c r="A16"/>
  <c r="G15"/>
  <c r="M14"/>
  <c r="E14"/>
  <c r="K13"/>
  <c r="C13"/>
  <c r="I12"/>
  <c r="A12"/>
  <c r="G11"/>
  <c r="M10"/>
  <c r="E10"/>
  <c r="K9"/>
  <c r="C9"/>
  <c r="I8"/>
  <c r="A8"/>
  <c r="G7"/>
  <c r="L6"/>
  <c r="L5"/>
  <c r="M489" i="2"/>
  <c r="C487"/>
  <c r="M485"/>
  <c r="B484"/>
  <c r="D482"/>
  <c r="A481"/>
  <c r="C479"/>
  <c r="M477"/>
  <c r="B476"/>
  <c r="D474"/>
  <c r="A473"/>
  <c r="C471"/>
  <c r="M469"/>
  <c r="B468"/>
  <c r="D466"/>
  <c r="A465"/>
  <c r="C463"/>
  <c r="M461"/>
  <c r="B460"/>
  <c r="D458"/>
  <c r="A457"/>
  <c r="C455"/>
  <c r="M453"/>
  <c r="B452"/>
  <c r="D450"/>
  <c r="A449"/>
  <c r="C447"/>
  <c r="M445"/>
  <c r="B444"/>
  <c r="D442"/>
  <c r="A441"/>
  <c r="C439"/>
  <c r="M437"/>
  <c r="B436"/>
  <c r="D434"/>
  <c r="A433"/>
  <c r="C431"/>
  <c r="M429"/>
  <c r="B428"/>
  <c r="D426"/>
  <c r="A425"/>
  <c r="C423"/>
  <c r="M421"/>
  <c r="B420"/>
  <c r="D418"/>
  <c r="A417"/>
  <c r="C415"/>
  <c r="M413"/>
  <c r="B412"/>
  <c r="D410"/>
  <c r="A409"/>
  <c r="C407"/>
  <c r="M405"/>
  <c r="B404"/>
  <c r="D402"/>
  <c r="A401"/>
  <c r="C399"/>
  <c r="M397"/>
  <c r="B396"/>
  <c r="D394"/>
  <c r="A393"/>
  <c r="C391"/>
  <c r="M389"/>
  <c r="B388"/>
  <c r="D386"/>
  <c r="A385"/>
  <c r="C383"/>
  <c r="M381"/>
  <c r="B380"/>
  <c r="D378"/>
  <c r="A377"/>
  <c r="C375"/>
  <c r="M373"/>
  <c r="B372"/>
  <c r="D370"/>
  <c r="A369"/>
  <c r="C367"/>
  <c r="M365"/>
  <c r="B364"/>
  <c r="D362"/>
  <c r="A361"/>
  <c r="C359"/>
  <c r="M357"/>
  <c r="B356"/>
  <c r="D354"/>
  <c r="A353"/>
  <c r="C351"/>
  <c r="M349"/>
  <c r="B348"/>
  <c r="D346"/>
  <c r="A345"/>
  <c r="C343"/>
  <c r="M341"/>
  <c r="B340"/>
  <c r="D338"/>
  <c r="A337"/>
  <c r="C335"/>
  <c r="M333"/>
  <c r="B332"/>
  <c r="D330"/>
  <c r="A329"/>
  <c r="C327"/>
  <c r="M325"/>
  <c r="B324"/>
  <c r="D322"/>
  <c r="A321"/>
  <c r="C319"/>
  <c r="M317"/>
  <c r="B316"/>
  <c r="L314"/>
  <c r="D314"/>
  <c r="I313"/>
  <c r="A313"/>
  <c r="F312"/>
  <c r="K311"/>
  <c r="C311"/>
  <c r="H310"/>
  <c r="M309"/>
  <c r="E309"/>
  <c r="J308"/>
  <c r="B308"/>
  <c r="G307"/>
  <c r="L306"/>
  <c r="D306"/>
  <c r="I305"/>
  <c r="A305"/>
  <c r="F304"/>
  <c r="K303"/>
  <c r="C303"/>
  <c r="H302"/>
  <c r="M301"/>
  <c r="E301"/>
  <c r="J300"/>
  <c r="B300"/>
  <c r="G299"/>
  <c r="L298"/>
  <c r="D298"/>
  <c r="I297"/>
  <c r="A297"/>
  <c r="F296"/>
  <c r="K295"/>
  <c r="C295"/>
  <c r="H294"/>
  <c r="M293"/>
  <c r="E293"/>
  <c r="J292"/>
  <c r="B292"/>
  <c r="G291"/>
  <c r="L290"/>
  <c r="D290"/>
  <c r="I289"/>
  <c r="A289"/>
  <c r="F288"/>
  <c r="K287"/>
  <c r="C287"/>
  <c r="H286"/>
  <c r="M285"/>
  <c r="E285"/>
  <c r="J284"/>
  <c r="B284"/>
  <c r="G283"/>
  <c r="L282"/>
  <c r="D282"/>
  <c r="I281"/>
  <c r="A281"/>
  <c r="F280"/>
  <c r="K279"/>
  <c r="C279"/>
  <c r="H278"/>
  <c r="M277"/>
  <c r="E277"/>
  <c r="J276"/>
  <c r="B276"/>
  <c r="G275"/>
  <c r="L274"/>
  <c r="D274"/>
  <c r="I273"/>
  <c r="A273"/>
  <c r="F272"/>
  <c r="K271"/>
  <c r="C271"/>
  <c r="H270"/>
  <c r="M269"/>
  <c r="E269"/>
  <c r="J268"/>
  <c r="B268"/>
  <c r="G267"/>
  <c r="L266"/>
  <c r="D266"/>
  <c r="I265"/>
  <c r="A265"/>
  <c r="F264"/>
  <c r="K263"/>
  <c r="C263"/>
  <c r="H262"/>
  <c r="M261"/>
  <c r="E261"/>
  <c r="J260"/>
  <c r="B260"/>
  <c r="G259"/>
  <c r="L258"/>
  <c r="D258"/>
  <c r="I257"/>
  <c r="A257"/>
  <c r="F256"/>
  <c r="K255"/>
  <c r="C255"/>
  <c r="H254"/>
  <c r="M253"/>
  <c r="E253"/>
  <c r="J252"/>
  <c r="B252"/>
  <c r="G251"/>
  <c r="L250"/>
  <c r="D250"/>
  <c r="I249"/>
  <c r="A249"/>
  <c r="F248"/>
  <c r="K247"/>
  <c r="C247"/>
  <c r="H246"/>
  <c r="M245"/>
  <c r="E245"/>
  <c r="J244"/>
  <c r="B244"/>
  <c r="G243"/>
  <c r="L242"/>
  <c r="D242"/>
  <c r="I241"/>
  <c r="A241"/>
  <c r="F240"/>
  <c r="K239"/>
  <c r="C239"/>
  <c r="H238"/>
  <c r="M237"/>
  <c r="E237"/>
  <c r="J236"/>
  <c r="B236"/>
  <c r="G235"/>
  <c r="L234"/>
  <c r="D234"/>
  <c r="I233"/>
  <c r="A233"/>
  <c r="F232"/>
  <c r="K231"/>
  <c r="C231"/>
  <c r="H230"/>
  <c r="M229"/>
  <c r="E229"/>
  <c r="J228"/>
  <c r="B228"/>
  <c r="G227"/>
  <c r="L226"/>
  <c r="D226"/>
  <c r="I225"/>
  <c r="A225"/>
  <c r="F224"/>
  <c r="K223"/>
  <c r="C223"/>
  <c r="H222"/>
  <c r="M221"/>
  <c r="E221"/>
  <c r="J220"/>
  <c r="B220"/>
  <c r="G219"/>
  <c r="L218"/>
  <c r="D218"/>
  <c r="D65" i="4"/>
  <c r="D600" i="3"/>
  <c r="C549"/>
  <c r="B498"/>
  <c r="A447"/>
  <c r="B402"/>
  <c r="F382"/>
  <c r="J362"/>
  <c r="A343"/>
  <c r="E323"/>
  <c r="I303"/>
  <c r="L283"/>
  <c r="E270"/>
  <c r="C257"/>
  <c r="M243"/>
  <c r="M230"/>
  <c r="F221"/>
  <c r="G216"/>
  <c r="H211"/>
  <c r="I206"/>
  <c r="J201"/>
  <c r="K196"/>
  <c r="L191"/>
  <c r="C188"/>
  <c r="J185"/>
  <c r="D183"/>
  <c r="K180"/>
  <c r="E178"/>
  <c r="L175"/>
  <c r="F173"/>
  <c r="M170"/>
  <c r="G168"/>
  <c r="A166"/>
  <c r="H163"/>
  <c r="B161"/>
  <c r="I158"/>
  <c r="C156"/>
  <c r="J153"/>
  <c r="D151"/>
  <c r="K148"/>
  <c r="E146"/>
  <c r="M144"/>
  <c r="C143"/>
  <c r="F141"/>
  <c r="A140"/>
  <c r="D138"/>
  <c r="G136"/>
  <c r="B135"/>
  <c r="G133"/>
  <c r="L131"/>
  <c r="H130"/>
  <c r="M128"/>
  <c r="D127"/>
  <c r="N125"/>
  <c r="E124"/>
  <c r="J122"/>
  <c r="F121"/>
  <c r="K119"/>
  <c r="B118"/>
  <c r="L116"/>
  <c r="C115"/>
  <c r="H113"/>
  <c r="D112"/>
  <c r="I110"/>
  <c r="G109"/>
  <c r="M108"/>
  <c r="E108"/>
  <c r="K107"/>
  <c r="C107"/>
  <c r="I106"/>
  <c r="A106"/>
  <c r="G105"/>
  <c r="M104"/>
  <c r="E104"/>
  <c r="K103"/>
  <c r="C103"/>
  <c r="I102"/>
  <c r="A102"/>
  <c r="G101"/>
  <c r="M100"/>
  <c r="E100"/>
  <c r="K99"/>
  <c r="C99"/>
  <c r="I98"/>
  <c r="A98"/>
  <c r="G97"/>
  <c r="M96"/>
  <c r="E96"/>
  <c r="J95"/>
  <c r="B95"/>
  <c r="H94"/>
  <c r="N93"/>
  <c r="F93"/>
  <c r="K92"/>
  <c r="C92"/>
  <c r="I91"/>
  <c r="A91"/>
  <c r="G90"/>
  <c r="M89"/>
  <c r="E89"/>
  <c r="K88"/>
  <c r="C88"/>
  <c r="I87"/>
  <c r="A87"/>
  <c r="G86"/>
  <c r="M85"/>
  <c r="E85"/>
  <c r="K84"/>
  <c r="C84"/>
  <c r="I83"/>
  <c r="A83"/>
  <c r="G82"/>
  <c r="M81"/>
  <c r="E81"/>
  <c r="K80"/>
  <c r="C80"/>
  <c r="I79"/>
  <c r="A79"/>
  <c r="G78"/>
  <c r="M77"/>
  <c r="E77"/>
  <c r="K76"/>
  <c r="C76"/>
  <c r="I75"/>
  <c r="A75"/>
  <c r="G74"/>
  <c r="M73"/>
  <c r="E73"/>
  <c r="K72"/>
  <c r="C72"/>
  <c r="I71"/>
  <c r="A71"/>
  <c r="G70"/>
  <c r="M69"/>
  <c r="E69"/>
  <c r="K68"/>
  <c r="C68"/>
  <c r="I67"/>
  <c r="A67"/>
  <c r="G66"/>
  <c r="M65"/>
  <c r="E65"/>
  <c r="K64"/>
  <c r="C64"/>
  <c r="I63"/>
  <c r="A63"/>
  <c r="G62"/>
  <c r="M61"/>
  <c r="E61"/>
  <c r="K60"/>
  <c r="C60"/>
  <c r="I59"/>
  <c r="A59"/>
  <c r="G58"/>
  <c r="M57"/>
  <c r="E57"/>
  <c r="K56"/>
  <c r="C56"/>
  <c r="I55"/>
  <c r="A55"/>
  <c r="G54"/>
  <c r="M53"/>
  <c r="E53"/>
  <c r="K52"/>
  <c r="C52"/>
  <c r="I51"/>
  <c r="A51"/>
  <c r="G50"/>
  <c r="M49"/>
  <c r="E49"/>
  <c r="K48"/>
  <c r="B48"/>
  <c r="H47"/>
  <c r="N46"/>
  <c r="F46"/>
  <c r="L45"/>
  <c r="D45"/>
  <c r="J44"/>
  <c r="B44"/>
  <c r="H43"/>
  <c r="N42"/>
  <c r="F42"/>
  <c r="L41"/>
  <c r="D41"/>
  <c r="J40"/>
  <c r="B40"/>
  <c r="H39"/>
  <c r="N38"/>
  <c r="F38"/>
  <c r="L37"/>
  <c r="D37"/>
  <c r="J36"/>
  <c r="B36"/>
  <c r="H35"/>
  <c r="N34"/>
  <c r="F34"/>
  <c r="L33"/>
  <c r="D33"/>
  <c r="J32"/>
  <c r="B32"/>
  <c r="H31"/>
  <c r="N30"/>
  <c r="F30"/>
  <c r="L29"/>
  <c r="D29"/>
  <c r="J28"/>
  <c r="B28"/>
  <c r="H27"/>
  <c r="N26"/>
  <c r="F26"/>
  <c r="L25"/>
  <c r="D25"/>
  <c r="J24"/>
  <c r="B24"/>
  <c r="H23"/>
  <c r="N22"/>
  <c r="F22"/>
  <c r="L21"/>
  <c r="D21"/>
  <c r="J20"/>
  <c r="B20"/>
  <c r="H19"/>
  <c r="N18"/>
  <c r="F18"/>
  <c r="L17"/>
  <c r="D17"/>
  <c r="J16"/>
  <c r="B16"/>
  <c r="H15"/>
  <c r="N14"/>
  <c r="F14"/>
  <c r="L13"/>
  <c r="D13"/>
  <c r="J12"/>
  <c r="B12"/>
  <c r="H11"/>
  <c r="N10"/>
  <c r="F10"/>
  <c r="L9"/>
  <c r="D9"/>
  <c r="J8"/>
  <c r="B8"/>
  <c r="H7"/>
  <c r="M6"/>
  <c r="E6"/>
  <c r="M490" i="2"/>
  <c r="D487"/>
  <c r="A486"/>
  <c r="C484"/>
  <c r="M482"/>
  <c r="B481"/>
  <c r="D479"/>
  <c r="A478"/>
  <c r="C476"/>
  <c r="M474"/>
  <c r="B473"/>
  <c r="D471"/>
  <c r="A470"/>
  <c r="C468"/>
  <c r="M466"/>
  <c r="B465"/>
  <c r="D463"/>
  <c r="A462"/>
  <c r="C460"/>
  <c r="M458"/>
  <c r="B457"/>
  <c r="D455"/>
  <c r="A454"/>
  <c r="C452"/>
  <c r="M450"/>
  <c r="B449"/>
  <c r="D447"/>
  <c r="A446"/>
  <c r="C444"/>
  <c r="M442"/>
  <c r="B441"/>
  <c r="D439"/>
  <c r="A438"/>
  <c r="C436"/>
  <c r="M434"/>
  <c r="B433"/>
  <c r="D431"/>
  <c r="A430"/>
  <c r="C428"/>
  <c r="M426"/>
  <c r="B425"/>
  <c r="D423"/>
  <c r="A422"/>
  <c r="C420"/>
  <c r="M418"/>
  <c r="B417"/>
  <c r="D415"/>
  <c r="A414"/>
  <c r="C412"/>
  <c r="M410"/>
  <c r="B409"/>
  <c r="D407"/>
  <c r="A406"/>
  <c r="C404"/>
  <c r="M402"/>
  <c r="B401"/>
  <c r="D399"/>
  <c r="A398"/>
  <c r="C396"/>
  <c r="M394"/>
  <c r="B393"/>
  <c r="D391"/>
  <c r="A390"/>
  <c r="C388"/>
  <c r="M386"/>
  <c r="B385"/>
  <c r="D383"/>
  <c r="A382"/>
  <c r="C380"/>
  <c r="M378"/>
  <c r="B377"/>
  <c r="D375"/>
  <c r="A374"/>
  <c r="C372"/>
  <c r="M370"/>
  <c r="B369"/>
  <c r="D367"/>
  <c r="A366"/>
  <c r="C364"/>
  <c r="M362"/>
  <c r="B361"/>
  <c r="D359"/>
  <c r="A358"/>
  <c r="C356"/>
  <c r="M354"/>
  <c r="B353"/>
  <c r="D351"/>
  <c r="A350"/>
  <c r="C348"/>
  <c r="M346"/>
  <c r="B345"/>
  <c r="D343"/>
  <c r="A342"/>
  <c r="C340"/>
  <c r="M338"/>
  <c r="B337"/>
  <c r="D335"/>
  <c r="A334"/>
  <c r="C332"/>
  <c r="M330"/>
  <c r="B329"/>
  <c r="D327"/>
  <c r="A326"/>
  <c r="C324"/>
  <c r="M322"/>
  <c r="B321"/>
  <c r="D319"/>
  <c r="A318"/>
  <c r="M91" i="4"/>
  <c r="A607" i="3"/>
  <c r="M555"/>
  <c r="D504"/>
  <c r="C453"/>
  <c r="H404"/>
  <c r="L384"/>
  <c r="C365"/>
  <c r="G345"/>
  <c r="K325"/>
  <c r="B306"/>
  <c r="E286"/>
  <c r="M271"/>
  <c r="J258"/>
  <c r="J245"/>
  <c r="H232"/>
  <c r="A222"/>
  <c r="B217"/>
  <c r="C212"/>
  <c r="D207"/>
  <c r="E202"/>
  <c r="F197"/>
  <c r="G192"/>
  <c r="I188"/>
  <c r="C186"/>
  <c r="J183"/>
  <c r="D181"/>
  <c r="K178"/>
  <c r="E176"/>
  <c r="L173"/>
  <c r="F171"/>
  <c r="M168"/>
  <c r="G166"/>
  <c r="A164"/>
  <c r="H161"/>
  <c r="B159"/>
  <c r="I156"/>
  <c r="C154"/>
  <c r="J151"/>
  <c r="D149"/>
  <c r="K146"/>
  <c r="A145"/>
  <c r="D143"/>
  <c r="L141"/>
  <c r="B140"/>
  <c r="E138"/>
  <c r="M136"/>
  <c r="C135"/>
  <c r="H133"/>
  <c r="D132"/>
  <c r="I130"/>
  <c r="N128"/>
  <c r="J127"/>
  <c r="A126"/>
  <c r="F124"/>
  <c r="B123"/>
  <c r="G121"/>
  <c r="L119"/>
  <c r="H118"/>
  <c r="M116"/>
  <c r="D115"/>
  <c r="N113"/>
  <c r="E112"/>
  <c r="J110"/>
  <c r="H109"/>
  <c r="N108"/>
  <c r="F108"/>
  <c r="L107"/>
  <c r="D107"/>
  <c r="J106"/>
  <c r="B106"/>
  <c r="H105"/>
  <c r="N104"/>
  <c r="F104"/>
  <c r="L103"/>
  <c r="D103"/>
  <c r="J102"/>
  <c r="B102"/>
  <c r="H101"/>
  <c r="N100"/>
  <c r="F100"/>
  <c r="L99"/>
  <c r="D99"/>
  <c r="J98"/>
  <c r="B98"/>
  <c r="H97"/>
  <c r="N96"/>
  <c r="F96"/>
  <c r="K95"/>
  <c r="C95"/>
  <c r="I94"/>
  <c r="A94"/>
  <c r="G93"/>
  <c r="L92"/>
  <c r="D92"/>
  <c r="J91"/>
  <c r="B91"/>
  <c r="H90"/>
  <c r="N89"/>
  <c r="F89"/>
  <c r="L88"/>
  <c r="D88"/>
  <c r="J87"/>
  <c r="B87"/>
  <c r="H86"/>
  <c r="N85"/>
  <c r="F85"/>
  <c r="L84"/>
  <c r="D84"/>
  <c r="J83"/>
  <c r="B83"/>
  <c r="H82"/>
  <c r="N81"/>
  <c r="F81"/>
  <c r="L80"/>
  <c r="D80"/>
  <c r="J79"/>
  <c r="B79"/>
  <c r="H78"/>
  <c r="N77"/>
  <c r="F77"/>
  <c r="L76"/>
  <c r="D76"/>
  <c r="J75"/>
  <c r="B75"/>
  <c r="H74"/>
  <c r="N73"/>
  <c r="F73"/>
  <c r="L72"/>
  <c r="D72"/>
  <c r="J71"/>
  <c r="B71"/>
  <c r="H70"/>
  <c r="N69"/>
  <c r="F69"/>
  <c r="L68"/>
  <c r="D68"/>
  <c r="J67"/>
  <c r="B67"/>
  <c r="H66"/>
  <c r="N65"/>
  <c r="F65"/>
  <c r="L64"/>
  <c r="D64"/>
  <c r="J63"/>
  <c r="B63"/>
  <c r="H62"/>
  <c r="N61"/>
  <c r="F61"/>
  <c r="L60"/>
  <c r="D60"/>
  <c r="J59"/>
  <c r="B59"/>
  <c r="H58"/>
  <c r="N57"/>
  <c r="F57"/>
  <c r="L56"/>
  <c r="D56"/>
  <c r="J55"/>
  <c r="B55"/>
  <c r="H54"/>
  <c r="N53"/>
  <c r="F53"/>
  <c r="L52"/>
  <c r="D52"/>
  <c r="J51"/>
  <c r="B51"/>
  <c r="H50"/>
  <c r="N49"/>
  <c r="F49"/>
  <c r="L48"/>
  <c r="C48"/>
  <c r="I47"/>
  <c r="A47"/>
  <c r="G46"/>
  <c r="M45"/>
  <c r="E45"/>
  <c r="K44"/>
  <c r="C44"/>
  <c r="I43"/>
  <c r="A43"/>
  <c r="G42"/>
  <c r="M41"/>
  <c r="E41"/>
  <c r="K40"/>
  <c r="C40"/>
  <c r="I39"/>
  <c r="A39"/>
  <c r="G38"/>
  <c r="M37"/>
  <c r="E37"/>
  <c r="K36"/>
  <c r="C36"/>
  <c r="I35"/>
  <c r="A35"/>
  <c r="G34"/>
  <c r="M33"/>
  <c r="E33"/>
  <c r="K32"/>
  <c r="C32"/>
  <c r="I31"/>
  <c r="A31"/>
  <c r="G30"/>
  <c r="M29"/>
  <c r="E29"/>
  <c r="K28"/>
  <c r="C28"/>
  <c r="I27"/>
  <c r="A27"/>
  <c r="G26"/>
  <c r="M25"/>
  <c r="E25"/>
  <c r="K24"/>
  <c r="C24"/>
  <c r="I23"/>
  <c r="A23"/>
  <c r="G22"/>
  <c r="M21"/>
  <c r="E21"/>
  <c r="K20"/>
  <c r="C20"/>
  <c r="I19"/>
  <c r="A19"/>
  <c r="G18"/>
  <c r="M17"/>
  <c r="E17"/>
  <c r="K16"/>
  <c r="C16"/>
  <c r="I15"/>
  <c r="A15"/>
  <c r="G14"/>
  <c r="M13"/>
  <c r="E13"/>
  <c r="K12"/>
  <c r="C12"/>
  <c r="I11"/>
  <c r="A11"/>
  <c r="G10"/>
  <c r="M9"/>
  <c r="E9"/>
  <c r="K8"/>
  <c r="C8"/>
  <c r="I7"/>
  <c r="A7"/>
  <c r="F6"/>
  <c r="M491" i="2"/>
  <c r="M487"/>
  <c r="B486"/>
  <c r="D484"/>
  <c r="A483"/>
  <c r="C481"/>
  <c r="M479"/>
  <c r="B478"/>
  <c r="D476"/>
  <c r="A475"/>
  <c r="C473"/>
  <c r="M471"/>
  <c r="B470"/>
  <c r="D468"/>
  <c r="A467"/>
  <c r="C465"/>
  <c r="M463"/>
  <c r="B462"/>
  <c r="D460"/>
  <c r="A459"/>
  <c r="C457"/>
  <c r="M455"/>
  <c r="B454"/>
  <c r="D452"/>
  <c r="A451"/>
  <c r="C449"/>
  <c r="M447"/>
  <c r="B446"/>
  <c r="D444"/>
  <c r="A443"/>
  <c r="C441"/>
  <c r="M439"/>
  <c r="B438"/>
  <c r="D436"/>
  <c r="A435"/>
  <c r="C433"/>
  <c r="M431"/>
  <c r="B430"/>
  <c r="D428"/>
  <c r="A427"/>
  <c r="C425"/>
  <c r="M423"/>
  <c r="B422"/>
  <c r="D420"/>
  <c r="A419"/>
  <c r="C417"/>
  <c r="M415"/>
  <c r="B414"/>
  <c r="D412"/>
  <c r="A411"/>
  <c r="C409"/>
  <c r="M407"/>
  <c r="B406"/>
  <c r="D404"/>
  <c r="A403"/>
  <c r="C401"/>
  <c r="M399"/>
  <c r="B398"/>
  <c r="D396"/>
  <c r="A395"/>
  <c r="C393"/>
  <c r="M391"/>
  <c r="B390"/>
  <c r="D388"/>
  <c r="A387"/>
  <c r="C385"/>
  <c r="M383"/>
  <c r="B382"/>
  <c r="D380"/>
  <c r="A379"/>
  <c r="C377"/>
  <c r="M375"/>
  <c r="B374"/>
  <c r="D372"/>
  <c r="A371"/>
  <c r="C369"/>
  <c r="M367"/>
  <c r="B366"/>
  <c r="D364"/>
  <c r="A363"/>
  <c r="C361"/>
  <c r="M359"/>
  <c r="B358"/>
  <c r="D356"/>
  <c r="A355"/>
  <c r="C353"/>
  <c r="M351"/>
  <c r="B350"/>
  <c r="D348"/>
  <c r="A347"/>
  <c r="C345"/>
  <c r="M343"/>
  <c r="B342"/>
  <c r="D340"/>
  <c r="A339"/>
  <c r="C337"/>
  <c r="M335"/>
  <c r="B334"/>
  <c r="D332"/>
  <c r="A331"/>
  <c r="C329"/>
  <c r="M327"/>
  <c r="B326"/>
  <c r="D324"/>
  <c r="A323"/>
  <c r="C321"/>
  <c r="M319"/>
  <c r="B318"/>
  <c r="D316"/>
  <c r="A315"/>
  <c r="F314"/>
  <c r="K313"/>
  <c r="C313"/>
  <c r="H312"/>
  <c r="M311"/>
  <c r="E311"/>
  <c r="J310"/>
  <c r="B310"/>
  <c r="G309"/>
  <c r="L308"/>
  <c r="D308"/>
  <c r="I307"/>
  <c r="A307"/>
  <c r="F306"/>
  <c r="K305"/>
  <c r="C305"/>
  <c r="H304"/>
  <c r="M303"/>
  <c r="E303"/>
  <c r="J302"/>
  <c r="B302"/>
  <c r="G301"/>
  <c r="L300"/>
  <c r="D300"/>
  <c r="I299"/>
  <c r="A299"/>
  <c r="F298"/>
  <c r="K297"/>
  <c r="C297"/>
  <c r="H296"/>
  <c r="M295"/>
  <c r="E295"/>
  <c r="J294"/>
  <c r="B294"/>
  <c r="G293"/>
  <c r="L292"/>
  <c r="D292"/>
  <c r="I291"/>
  <c r="A291"/>
  <c r="F290"/>
  <c r="K289"/>
  <c r="C289"/>
  <c r="H288"/>
  <c r="M287"/>
  <c r="E287"/>
  <c r="J286"/>
  <c r="B286"/>
  <c r="G285"/>
  <c r="L284"/>
  <c r="D284"/>
  <c r="I283"/>
  <c r="A283"/>
  <c r="F282"/>
  <c r="K281"/>
  <c r="C281"/>
  <c r="H280"/>
  <c r="M279"/>
  <c r="E279"/>
  <c r="J278"/>
  <c r="B278"/>
  <c r="G277"/>
  <c r="L276"/>
  <c r="D276"/>
  <c r="I275"/>
  <c r="A275"/>
  <c r="F274"/>
  <c r="K273"/>
  <c r="C273"/>
  <c r="H272"/>
  <c r="M271"/>
  <c r="E271"/>
  <c r="J270"/>
  <c r="B270"/>
  <c r="G269"/>
  <c r="L268"/>
  <c r="D268"/>
  <c r="I267"/>
  <c r="A267"/>
  <c r="F266"/>
  <c r="K265"/>
  <c r="C265"/>
  <c r="H264"/>
  <c r="M263"/>
  <c r="E263"/>
  <c r="J262"/>
  <c r="B262"/>
  <c r="G261"/>
  <c r="L260"/>
  <c r="D260"/>
  <c r="I259"/>
  <c r="A259"/>
  <c r="F258"/>
  <c r="K257"/>
  <c r="C257"/>
  <c r="H256"/>
  <c r="M255"/>
  <c r="E255"/>
  <c r="J254"/>
  <c r="B254"/>
  <c r="G253"/>
  <c r="L252"/>
  <c r="D252"/>
  <c r="I251"/>
  <c r="A251"/>
  <c r="F250"/>
  <c r="K249"/>
  <c r="C249"/>
  <c r="H248"/>
  <c r="M247"/>
  <c r="E247"/>
  <c r="J246"/>
  <c r="B246"/>
  <c r="G245"/>
  <c r="L244"/>
  <c r="D244"/>
  <c r="I243"/>
  <c r="A243"/>
  <c r="F242"/>
  <c r="K241"/>
  <c r="C241"/>
  <c r="H240"/>
  <c r="M239"/>
  <c r="E239"/>
  <c r="J238"/>
  <c r="B238"/>
  <c r="G237"/>
  <c r="L236"/>
  <c r="D236"/>
  <c r="I235"/>
  <c r="A235"/>
  <c r="F234"/>
  <c r="K233"/>
  <c r="C233"/>
  <c r="H232"/>
  <c r="M231"/>
  <c r="E231"/>
  <c r="J230"/>
  <c r="B230"/>
  <c r="G229"/>
  <c r="L228"/>
  <c r="D228"/>
  <c r="I227"/>
  <c r="A227"/>
  <c r="F226"/>
  <c r="K225"/>
  <c r="C225"/>
  <c r="H224"/>
  <c r="M223"/>
  <c r="E223"/>
  <c r="J222"/>
  <c r="B222"/>
  <c r="G221"/>
  <c r="L220"/>
  <c r="D220"/>
  <c r="I219"/>
  <c r="A219"/>
  <c r="F218"/>
  <c r="B145" i="4"/>
  <c r="F9"/>
  <c r="D568" i="3"/>
  <c r="C517"/>
  <c r="B466"/>
  <c r="A415"/>
  <c r="K389"/>
  <c r="B370"/>
  <c r="F350"/>
  <c r="J330"/>
  <c r="A311"/>
  <c r="D291"/>
  <c r="D275"/>
  <c r="B262"/>
  <c r="L248"/>
  <c r="L235"/>
  <c r="D223"/>
  <c r="E218"/>
  <c r="F213"/>
  <c r="G208"/>
  <c r="H203"/>
  <c r="I198"/>
  <c r="J193"/>
  <c r="D189"/>
  <c r="K186"/>
  <c r="E184"/>
  <c r="L181"/>
  <c r="F179"/>
  <c r="M176"/>
  <c r="G174"/>
  <c r="A172"/>
  <c r="H169"/>
  <c r="B167"/>
  <c r="I164"/>
  <c r="C162"/>
  <c r="J159"/>
  <c r="D157"/>
  <c r="K154"/>
  <c r="E152"/>
  <c r="L149"/>
  <c r="F147"/>
  <c r="H145"/>
  <c r="K143"/>
  <c r="A142"/>
  <c r="I140"/>
  <c r="L138"/>
  <c r="B137"/>
  <c r="J135"/>
  <c r="A134"/>
  <c r="F132"/>
  <c r="B131"/>
  <c r="G129"/>
  <c r="L127"/>
  <c r="H126"/>
  <c r="M124"/>
  <c r="D123"/>
  <c r="N121"/>
  <c r="E120"/>
  <c r="J118"/>
  <c r="F117"/>
  <c r="K115"/>
  <c r="B114"/>
  <c r="L112"/>
  <c r="C111"/>
  <c r="K109"/>
  <c r="B109"/>
  <c r="H108"/>
  <c r="N107"/>
  <c r="F107"/>
  <c r="L106"/>
  <c r="D106"/>
  <c r="J105"/>
  <c r="B105"/>
  <c r="H104"/>
  <c r="N103"/>
  <c r="F103"/>
  <c r="L102"/>
  <c r="D102"/>
  <c r="J101"/>
  <c r="B101"/>
  <c r="H100"/>
  <c r="N99"/>
  <c r="F99"/>
  <c r="L98"/>
  <c r="D98"/>
  <c r="J97"/>
  <c r="B97"/>
  <c r="H96"/>
  <c r="N95"/>
  <c r="E95"/>
  <c r="K94"/>
  <c r="C94"/>
  <c r="I93"/>
  <c r="N92"/>
  <c r="F92"/>
  <c r="L91"/>
  <c r="D91"/>
  <c r="J90"/>
  <c r="B90"/>
  <c r="H89"/>
  <c r="N88"/>
  <c r="F88"/>
  <c r="L87"/>
  <c r="D87"/>
  <c r="J86"/>
  <c r="B86"/>
  <c r="H85"/>
  <c r="N84"/>
  <c r="F84"/>
  <c r="L83"/>
  <c r="D83"/>
  <c r="J82"/>
  <c r="B82"/>
  <c r="H81"/>
  <c r="N80"/>
  <c r="F80"/>
  <c r="L79"/>
  <c r="D79"/>
  <c r="J78"/>
  <c r="B78"/>
  <c r="H77"/>
  <c r="N76"/>
  <c r="F76"/>
  <c r="L75"/>
  <c r="D75"/>
  <c r="J74"/>
  <c r="B74"/>
  <c r="H73"/>
  <c r="N72"/>
  <c r="F72"/>
  <c r="L71"/>
  <c r="D71"/>
  <c r="J70"/>
  <c r="B70"/>
  <c r="H69"/>
  <c r="N68"/>
  <c r="F68"/>
  <c r="L67"/>
  <c r="D67"/>
  <c r="J66"/>
  <c r="B66"/>
  <c r="H65"/>
  <c r="N64"/>
  <c r="F64"/>
  <c r="L63"/>
  <c r="D63"/>
  <c r="J62"/>
  <c r="B62"/>
  <c r="H61"/>
  <c r="N60"/>
  <c r="F60"/>
  <c r="L59"/>
  <c r="D59"/>
  <c r="J58"/>
  <c r="B58"/>
  <c r="H57"/>
  <c r="N56"/>
  <c r="F56"/>
  <c r="L55"/>
  <c r="D55"/>
  <c r="J54"/>
  <c r="B54"/>
  <c r="H53"/>
  <c r="N52"/>
  <c r="F52"/>
  <c r="L51"/>
  <c r="D51"/>
  <c r="J50"/>
  <c r="B50"/>
  <c r="H49"/>
  <c r="N48"/>
  <c r="E48"/>
  <c r="K47"/>
  <c r="C47"/>
  <c r="I46"/>
  <c r="A46"/>
  <c r="G45"/>
  <c r="M44"/>
  <c r="E44"/>
  <c r="K43"/>
  <c r="C43"/>
  <c r="I42"/>
  <c r="A42"/>
  <c r="G41"/>
  <c r="M40"/>
  <c r="E40"/>
  <c r="K39"/>
  <c r="C39"/>
  <c r="I38"/>
  <c r="A38"/>
  <c r="G37"/>
  <c r="M36"/>
  <c r="E36"/>
  <c r="K35"/>
  <c r="C35"/>
  <c r="I34"/>
  <c r="A34"/>
  <c r="G33"/>
  <c r="M32"/>
  <c r="E32"/>
  <c r="K31"/>
  <c r="C31"/>
  <c r="I30"/>
  <c r="A30"/>
  <c r="G29"/>
  <c r="M28"/>
  <c r="E28"/>
  <c r="K27"/>
  <c r="C27"/>
  <c r="I26"/>
  <c r="A26"/>
  <c r="G25"/>
  <c r="M24"/>
  <c r="E24"/>
  <c r="K23"/>
  <c r="C23"/>
  <c r="I22"/>
  <c r="A22"/>
  <c r="G21"/>
  <c r="M20"/>
  <c r="E20"/>
  <c r="K19"/>
  <c r="C19"/>
  <c r="I18"/>
  <c r="A18"/>
  <c r="G17"/>
  <c r="M16"/>
  <c r="E16"/>
  <c r="K15"/>
  <c r="C15"/>
  <c r="I14"/>
  <c r="A14"/>
  <c r="G13"/>
  <c r="M12"/>
  <c r="E12"/>
  <c r="K11"/>
  <c r="C11"/>
  <c r="I10"/>
  <c r="A10"/>
  <c r="G9"/>
  <c r="M8"/>
  <c r="E8"/>
  <c r="K7"/>
  <c r="C7"/>
  <c r="H6"/>
  <c r="M493" i="2"/>
  <c r="B488"/>
  <c r="D486"/>
  <c r="A485"/>
  <c r="C483"/>
  <c r="M481"/>
  <c r="B480"/>
  <c r="D478"/>
  <c r="A477"/>
  <c r="C475"/>
  <c r="M473"/>
  <c r="B472"/>
  <c r="D470"/>
  <c r="A469"/>
  <c r="C467"/>
  <c r="M465"/>
  <c r="B464"/>
  <c r="D462"/>
  <c r="A461"/>
  <c r="C459"/>
  <c r="M457"/>
  <c r="B456"/>
  <c r="D454"/>
  <c r="A453"/>
  <c r="C451"/>
  <c r="M449"/>
  <c r="B448"/>
  <c r="D446"/>
  <c r="A445"/>
  <c r="C443"/>
  <c r="M441"/>
  <c r="B440"/>
  <c r="D438"/>
  <c r="A437"/>
  <c r="C435"/>
  <c r="M433"/>
  <c r="B432"/>
  <c r="D430"/>
  <c r="A429"/>
  <c r="C427"/>
  <c r="M425"/>
  <c r="B424"/>
  <c r="D422"/>
  <c r="A421"/>
  <c r="C419"/>
  <c r="M417"/>
  <c r="B416"/>
  <c r="D414"/>
  <c r="A413"/>
  <c r="C411"/>
  <c r="M409"/>
  <c r="B408"/>
  <c r="D406"/>
  <c r="A405"/>
  <c r="C403"/>
  <c r="M401"/>
  <c r="B400"/>
  <c r="D398"/>
  <c r="A397"/>
  <c r="C395"/>
  <c r="M393"/>
  <c r="B392"/>
  <c r="D390"/>
  <c r="A389"/>
  <c r="C387"/>
  <c r="M385"/>
  <c r="B384"/>
  <c r="D382"/>
  <c r="A381"/>
  <c r="C379"/>
  <c r="M377"/>
  <c r="B376"/>
  <c r="D374"/>
  <c r="A373"/>
  <c r="C371"/>
  <c r="M369"/>
  <c r="B368"/>
  <c r="D366"/>
  <c r="A365"/>
  <c r="C363"/>
  <c r="M361"/>
  <c r="B360"/>
  <c r="D358"/>
  <c r="A357"/>
  <c r="C355"/>
  <c r="M353"/>
  <c r="B352"/>
  <c r="D350"/>
  <c r="A349"/>
  <c r="C347"/>
  <c r="M345"/>
  <c r="B344"/>
  <c r="D342"/>
  <c r="A341"/>
  <c r="C339"/>
  <c r="M337"/>
  <c r="B336"/>
  <c r="D334"/>
  <c r="A333"/>
  <c r="C331"/>
  <c r="M329"/>
  <c r="B328"/>
  <c r="D326"/>
  <c r="A325"/>
  <c r="C323"/>
  <c r="M321"/>
  <c r="B320"/>
  <c r="D318"/>
  <c r="A317"/>
  <c r="C315"/>
  <c r="H314"/>
  <c r="M313"/>
  <c r="E313"/>
  <c r="J312"/>
  <c r="B312"/>
  <c r="G311"/>
  <c r="L310"/>
  <c r="D310"/>
  <c r="I309"/>
  <c r="A309"/>
  <c r="F308"/>
  <c r="K307"/>
  <c r="C307"/>
  <c r="H306"/>
  <c r="M305"/>
  <c r="E305"/>
  <c r="J304"/>
  <c r="B304"/>
  <c r="G303"/>
  <c r="L302"/>
  <c r="D302"/>
  <c r="I301"/>
  <c r="A301"/>
  <c r="F300"/>
  <c r="K299"/>
  <c r="C299"/>
  <c r="H298"/>
  <c r="M297"/>
  <c r="E297"/>
  <c r="J296"/>
  <c r="B296"/>
  <c r="G295"/>
  <c r="L294"/>
  <c r="D294"/>
  <c r="I293"/>
  <c r="A293"/>
  <c r="F292"/>
  <c r="K291"/>
  <c r="C291"/>
  <c r="H290"/>
  <c r="M289"/>
  <c r="E289"/>
  <c r="J288"/>
  <c r="B288"/>
  <c r="G287"/>
  <c r="L286"/>
  <c r="D286"/>
  <c r="I285"/>
  <c r="A285"/>
  <c r="F284"/>
  <c r="K283"/>
  <c r="C283"/>
  <c r="H282"/>
  <c r="M281"/>
  <c r="E281"/>
  <c r="J280"/>
  <c r="B280"/>
  <c r="G279"/>
  <c r="L278"/>
  <c r="D278"/>
  <c r="I277"/>
  <c r="A277"/>
  <c r="F276"/>
  <c r="K275"/>
  <c r="C275"/>
  <c r="H274"/>
  <c r="M273"/>
  <c r="E273"/>
  <c r="J272"/>
  <c r="B272"/>
  <c r="G271"/>
  <c r="L270"/>
  <c r="D270"/>
  <c r="I269"/>
  <c r="A269"/>
  <c r="F268"/>
  <c r="K267"/>
  <c r="C267"/>
  <c r="H266"/>
  <c r="M265"/>
  <c r="E265"/>
  <c r="J264"/>
  <c r="B264"/>
  <c r="G263"/>
  <c r="L262"/>
  <c r="D262"/>
  <c r="I261"/>
  <c r="A261"/>
  <c r="F260"/>
  <c r="K259"/>
  <c r="C259"/>
  <c r="H258"/>
  <c r="M257"/>
  <c r="E257"/>
  <c r="J256"/>
  <c r="B256"/>
  <c r="G255"/>
  <c r="L254"/>
  <c r="D254"/>
  <c r="I253"/>
  <c r="A253"/>
  <c r="F252"/>
  <c r="K251"/>
  <c r="C251"/>
  <c r="H250"/>
  <c r="M249"/>
  <c r="E249"/>
  <c r="J248"/>
  <c r="B248"/>
  <c r="G247"/>
  <c r="L246"/>
  <c r="D246"/>
  <c r="I245"/>
  <c r="A245"/>
  <c r="F244"/>
  <c r="K243"/>
  <c r="C243"/>
  <c r="H242"/>
  <c r="M241"/>
  <c r="E241"/>
  <c r="J240"/>
  <c r="B240"/>
  <c r="G239"/>
  <c r="L238"/>
  <c r="D238"/>
  <c r="I237"/>
  <c r="A237"/>
  <c r="F236"/>
  <c r="K235"/>
  <c r="C235"/>
  <c r="H234"/>
  <c r="M233"/>
  <c r="E233"/>
  <c r="J232"/>
  <c r="B232"/>
  <c r="G231"/>
  <c r="L230"/>
  <c r="D230"/>
  <c r="I229"/>
  <c r="A229"/>
  <c r="F228"/>
  <c r="K227"/>
  <c r="C227"/>
  <c r="H226"/>
  <c r="M225"/>
  <c r="E225"/>
  <c r="J224"/>
  <c r="B224"/>
  <c r="G223"/>
  <c r="L222"/>
  <c r="D222"/>
  <c r="I221"/>
  <c r="A221"/>
  <c r="F220"/>
  <c r="K219"/>
  <c r="C219"/>
  <c r="H218"/>
  <c r="M176" i="4"/>
  <c r="A12"/>
  <c r="A575" i="3"/>
  <c r="M523"/>
  <c r="D472"/>
  <c r="C421"/>
  <c r="D392"/>
  <c r="H372"/>
  <c r="L352"/>
  <c r="C333"/>
  <c r="G313"/>
  <c r="J293"/>
  <c r="L276"/>
  <c r="I263"/>
  <c r="I250"/>
  <c r="G237"/>
  <c r="D224"/>
  <c r="M218"/>
  <c r="A214"/>
  <c r="B209"/>
  <c r="C204"/>
  <c r="D199"/>
  <c r="E194"/>
  <c r="F189"/>
  <c r="M186"/>
  <c r="G184"/>
  <c r="A182"/>
  <c r="H179"/>
  <c r="B177"/>
  <c r="I174"/>
  <c r="C172"/>
  <c r="J169"/>
  <c r="D167"/>
  <c r="K164"/>
  <c r="E162"/>
  <c r="L159"/>
  <c r="F157"/>
  <c r="M154"/>
  <c r="G152"/>
  <c r="A150"/>
  <c r="H147"/>
  <c r="I145"/>
  <c r="L143"/>
  <c r="G142"/>
  <c r="J140"/>
  <c r="M138"/>
  <c r="H137"/>
  <c r="K135"/>
  <c r="B134"/>
  <c r="L132"/>
  <c r="C131"/>
  <c r="H129"/>
  <c r="D128"/>
  <c r="I126"/>
  <c r="N124"/>
  <c r="J123"/>
  <c r="A122"/>
  <c r="F120"/>
  <c r="B119"/>
  <c r="G117"/>
  <c r="L115"/>
  <c r="H114"/>
  <c r="M112"/>
  <c r="D111"/>
  <c r="N109"/>
  <c r="C109"/>
  <c r="I108"/>
  <c r="A108"/>
  <c r="G107"/>
  <c r="M106"/>
  <c r="E106"/>
  <c r="K105"/>
  <c r="C105"/>
  <c r="I104"/>
  <c r="A104"/>
  <c r="G103"/>
  <c r="M102"/>
  <c r="E102"/>
  <c r="K101"/>
  <c r="C101"/>
  <c r="I100"/>
  <c r="A100"/>
  <c r="G99"/>
  <c r="M98"/>
  <c r="E98"/>
  <c r="K97"/>
  <c r="C97"/>
  <c r="I96"/>
  <c r="A96"/>
  <c r="F95"/>
  <c r="L94"/>
  <c r="D94"/>
  <c r="J93"/>
  <c r="B93"/>
  <c r="G92"/>
  <c r="M91"/>
  <c r="E91"/>
  <c r="K90"/>
  <c r="C90"/>
  <c r="I89"/>
  <c r="A89"/>
  <c r="G88"/>
  <c r="M87"/>
  <c r="E87"/>
  <c r="K86"/>
  <c r="C86"/>
  <c r="I85"/>
  <c r="A85"/>
  <c r="G84"/>
  <c r="M83"/>
  <c r="E83"/>
  <c r="K82"/>
  <c r="C82"/>
  <c r="I81"/>
  <c r="A81"/>
  <c r="G80"/>
  <c r="M79"/>
  <c r="E79"/>
  <c r="K78"/>
  <c r="C78"/>
  <c r="I77"/>
  <c r="A77"/>
  <c r="G76"/>
  <c r="M75"/>
  <c r="E75"/>
  <c r="K74"/>
  <c r="C74"/>
  <c r="I73"/>
  <c r="A73"/>
  <c r="G72"/>
  <c r="M71"/>
  <c r="E71"/>
  <c r="K70"/>
  <c r="C70"/>
  <c r="I69"/>
  <c r="A69"/>
  <c r="G68"/>
  <c r="M67"/>
  <c r="E67"/>
  <c r="K66"/>
  <c r="C66"/>
  <c r="I65"/>
  <c r="A65"/>
  <c r="G64"/>
  <c r="M63"/>
  <c r="E63"/>
  <c r="K62"/>
  <c r="C62"/>
  <c r="I61"/>
  <c r="A61"/>
  <c r="G60"/>
  <c r="M59"/>
  <c r="E59"/>
  <c r="K58"/>
  <c r="C58"/>
  <c r="I57"/>
  <c r="A57"/>
  <c r="G56"/>
  <c r="M55"/>
  <c r="E55"/>
  <c r="K54"/>
  <c r="C54"/>
  <c r="I53"/>
  <c r="A53"/>
  <c r="G52"/>
  <c r="M51"/>
  <c r="E51"/>
  <c r="K50"/>
  <c r="C50"/>
  <c r="I49"/>
  <c r="A49"/>
  <c r="F48"/>
  <c r="L47"/>
  <c r="D47"/>
  <c r="J46"/>
  <c r="B46"/>
  <c r="H45"/>
  <c r="N44"/>
  <c r="F44"/>
  <c r="L43"/>
  <c r="D43"/>
  <c r="J42"/>
  <c r="B42"/>
  <c r="H41"/>
  <c r="N40"/>
  <c r="F40"/>
  <c r="L39"/>
  <c r="D39"/>
  <c r="J38"/>
  <c r="B38"/>
  <c r="H37"/>
  <c r="N36"/>
  <c r="F36"/>
  <c r="L35"/>
  <c r="D35"/>
  <c r="J34"/>
  <c r="B34"/>
  <c r="H33"/>
  <c r="N32"/>
  <c r="F32"/>
  <c r="L31"/>
  <c r="D31"/>
  <c r="J30"/>
  <c r="B30"/>
  <c r="H29"/>
  <c r="N28"/>
  <c r="F28"/>
  <c r="L27"/>
  <c r="D27"/>
  <c r="J26"/>
  <c r="B26"/>
  <c r="H25"/>
  <c r="N24"/>
  <c r="F24"/>
  <c r="L23"/>
  <c r="D23"/>
  <c r="J22"/>
  <c r="B22"/>
  <c r="H21"/>
  <c r="N20"/>
  <c r="F20"/>
  <c r="L19"/>
  <c r="D19"/>
  <c r="J18"/>
  <c r="B18"/>
  <c r="H17"/>
  <c r="N16"/>
  <c r="F16"/>
  <c r="L15"/>
  <c r="D15"/>
  <c r="J14"/>
  <c r="B14"/>
  <c r="H13"/>
  <c r="N12"/>
  <c r="F12"/>
  <c r="L11"/>
  <c r="D11"/>
  <c r="J10"/>
  <c r="B10"/>
  <c r="H9"/>
  <c r="N8"/>
  <c r="F8"/>
  <c r="L7"/>
  <c r="D7"/>
  <c r="I6"/>
  <c r="A5"/>
  <c r="C488" i="2"/>
  <c r="M486"/>
  <c r="B485"/>
  <c r="D483"/>
  <c r="A482"/>
  <c r="C480"/>
  <c r="M478"/>
  <c r="B477"/>
  <c r="D475"/>
  <c r="A474"/>
  <c r="C472"/>
  <c r="M470"/>
  <c r="B469"/>
  <c r="D467"/>
  <c r="A466"/>
  <c r="C464"/>
  <c r="M462"/>
  <c r="B461"/>
  <c r="D459"/>
  <c r="A458"/>
  <c r="C456"/>
  <c r="M454"/>
  <c r="B453"/>
  <c r="D451"/>
  <c r="A450"/>
  <c r="C448"/>
  <c r="M446"/>
  <c r="B445"/>
  <c r="D443"/>
  <c r="A442"/>
  <c r="C440"/>
  <c r="M438"/>
  <c r="B437"/>
  <c r="D435"/>
  <c r="A434"/>
  <c r="C432"/>
  <c r="M430"/>
  <c r="B429"/>
  <c r="D427"/>
  <c r="A426"/>
  <c r="C424"/>
  <c r="M422"/>
  <c r="B421"/>
  <c r="D419"/>
  <c r="A418"/>
  <c r="C416"/>
  <c r="M414"/>
  <c r="B413"/>
  <c r="D411"/>
  <c r="A410"/>
  <c r="C408"/>
  <c r="M406"/>
  <c r="B405"/>
  <c r="D403"/>
  <c r="A402"/>
  <c r="C400"/>
  <c r="M398"/>
  <c r="B397"/>
  <c r="D395"/>
  <c r="A394"/>
  <c r="C392"/>
  <c r="M390"/>
  <c r="B389"/>
  <c r="D387"/>
  <c r="A386"/>
  <c r="C384"/>
  <c r="M382"/>
  <c r="B381"/>
  <c r="D379"/>
  <c r="A378"/>
  <c r="C376"/>
  <c r="M374"/>
  <c r="B373"/>
  <c r="D371"/>
  <c r="A370"/>
  <c r="C368"/>
  <c r="M366"/>
  <c r="B365"/>
  <c r="D363"/>
  <c r="A362"/>
  <c r="C360"/>
  <c r="M358"/>
  <c r="B357"/>
  <c r="D355"/>
  <c r="A354"/>
  <c r="C352"/>
  <c r="M350"/>
  <c r="B349"/>
  <c r="D347"/>
  <c r="A346"/>
  <c r="C344"/>
  <c r="M342"/>
  <c r="B341"/>
  <c r="D339"/>
  <c r="A338"/>
  <c r="C336"/>
  <c r="M334"/>
  <c r="B333"/>
  <c r="D331"/>
  <c r="A330"/>
  <c r="C328"/>
  <c r="M326"/>
  <c r="B325"/>
  <c r="D323"/>
  <c r="A322"/>
  <c r="C320"/>
  <c r="M318"/>
  <c r="B317"/>
  <c r="D315"/>
  <c r="I314"/>
  <c r="A314"/>
  <c r="F313"/>
  <c r="K312"/>
  <c r="C312"/>
  <c r="H311"/>
  <c r="M310"/>
  <c r="E310"/>
  <c r="J309"/>
  <c r="B309"/>
  <c r="G308"/>
  <c r="L307"/>
  <c r="D307"/>
  <c r="I306"/>
  <c r="A306"/>
  <c r="F305"/>
  <c r="K304"/>
  <c r="C304"/>
  <c r="H303"/>
  <c r="M302"/>
  <c r="E302"/>
  <c r="J301"/>
  <c r="B301"/>
  <c r="G300"/>
  <c r="L299"/>
  <c r="D299"/>
  <c r="I298"/>
  <c r="A298"/>
  <c r="F297"/>
  <c r="K296"/>
  <c r="C296"/>
  <c r="H295"/>
  <c r="M294"/>
  <c r="E294"/>
  <c r="J293"/>
  <c r="B293"/>
  <c r="G292"/>
  <c r="L291"/>
  <c r="D291"/>
  <c r="I290"/>
  <c r="A290"/>
  <c r="F289"/>
  <c r="K288"/>
  <c r="C288"/>
  <c r="H287"/>
  <c r="M286"/>
  <c r="E286"/>
  <c r="J285"/>
  <c r="B285"/>
  <c r="G284"/>
  <c r="L283"/>
  <c r="D283"/>
  <c r="I282"/>
  <c r="A282"/>
  <c r="F281"/>
  <c r="K280"/>
  <c r="C280"/>
  <c r="H279"/>
  <c r="M278"/>
  <c r="E278"/>
  <c r="J277"/>
  <c r="B277"/>
  <c r="G276"/>
  <c r="L275"/>
  <c r="D275"/>
  <c r="I274"/>
  <c r="A274"/>
  <c r="F273"/>
  <c r="K272"/>
  <c r="C272"/>
  <c r="H271"/>
  <c r="M270"/>
  <c r="E270"/>
  <c r="J269"/>
  <c r="B269"/>
  <c r="G268"/>
  <c r="L267"/>
  <c r="D267"/>
  <c r="I266"/>
  <c r="A266"/>
  <c r="F265"/>
  <c r="K264"/>
  <c r="C264"/>
  <c r="H263"/>
  <c r="M262"/>
  <c r="E262"/>
  <c r="J261"/>
  <c r="B261"/>
  <c r="G260"/>
  <c r="L259"/>
  <c r="D259"/>
  <c r="I258"/>
  <c r="A258"/>
  <c r="F257"/>
  <c r="K256"/>
  <c r="C256"/>
  <c r="H255"/>
  <c r="M254"/>
  <c r="E254"/>
  <c r="J253"/>
  <c r="B253"/>
  <c r="G252"/>
  <c r="L251"/>
  <c r="D251"/>
  <c r="I250"/>
  <c r="A250"/>
  <c r="F249"/>
  <c r="K248"/>
  <c r="C248"/>
  <c r="H247"/>
  <c r="M246"/>
  <c r="E246"/>
  <c r="J245"/>
  <c r="B245"/>
  <c r="G244"/>
  <c r="L243"/>
  <c r="D243"/>
  <c r="I242"/>
  <c r="A242"/>
  <c r="F241"/>
  <c r="K240"/>
  <c r="C240"/>
  <c r="H239"/>
  <c r="M238"/>
  <c r="E238"/>
  <c r="J237"/>
  <c r="B237"/>
  <c r="G236"/>
  <c r="L235"/>
  <c r="D235"/>
  <c r="I234"/>
  <c r="A234"/>
  <c r="F233"/>
  <c r="K232"/>
  <c r="C232"/>
  <c r="H231"/>
  <c r="M230"/>
  <c r="E230"/>
  <c r="J229"/>
  <c r="B229"/>
  <c r="G228"/>
  <c r="L227"/>
  <c r="D227"/>
  <c r="I226"/>
  <c r="A226"/>
  <c r="F225"/>
  <c r="K224"/>
  <c r="C224"/>
  <c r="H223"/>
  <c r="M222"/>
  <c r="E222"/>
  <c r="J221"/>
  <c r="B221"/>
  <c r="G220"/>
  <c r="L219"/>
  <c r="D219"/>
  <c r="I218"/>
  <c r="E214" i="4"/>
  <c r="M15"/>
  <c r="C581" i="3"/>
  <c r="B530"/>
  <c r="A479"/>
  <c r="M427"/>
  <c r="J394"/>
  <c r="A375"/>
  <c r="E355"/>
  <c r="I335"/>
  <c r="M315"/>
  <c r="C296"/>
  <c r="F278"/>
  <c r="F265"/>
  <c r="D252"/>
  <c r="A239"/>
  <c r="A226"/>
  <c r="H219"/>
  <c r="I214"/>
  <c r="J209"/>
  <c r="K204"/>
  <c r="L199"/>
  <c r="M194"/>
  <c r="A190"/>
  <c r="F187"/>
  <c r="M184"/>
  <c r="G182"/>
  <c r="A180"/>
  <c r="H177"/>
  <c r="B175"/>
  <c r="I172"/>
  <c r="C170"/>
  <c r="J167"/>
  <c r="D165"/>
  <c r="K162"/>
  <c r="E160"/>
  <c r="L157"/>
  <c r="F155"/>
  <c r="M152"/>
  <c r="G150"/>
  <c r="A148"/>
  <c r="J145"/>
  <c r="E144"/>
  <c r="H142"/>
  <c r="K140"/>
  <c r="F139"/>
  <c r="I137"/>
  <c r="L135"/>
  <c r="H134"/>
  <c r="M132"/>
  <c r="D131"/>
  <c r="N129"/>
  <c r="E128"/>
  <c r="J126"/>
  <c r="F125"/>
  <c r="K123"/>
  <c r="B122"/>
  <c r="L120"/>
  <c r="C119"/>
  <c r="H117"/>
  <c r="D116"/>
  <c r="I114"/>
  <c r="N112"/>
  <c r="J111"/>
  <c r="A110"/>
  <c r="D109"/>
  <c r="D539" i="4"/>
  <c r="F21"/>
  <c r="M587" i="3"/>
  <c r="D536"/>
  <c r="C485"/>
  <c r="B434"/>
  <c r="C397"/>
  <c r="G377"/>
  <c r="K357"/>
  <c r="B338"/>
  <c r="F318"/>
  <c r="J298"/>
  <c r="C280"/>
  <c r="A267"/>
  <c r="K253"/>
  <c r="K240"/>
  <c r="I227"/>
  <c r="C220"/>
  <c r="D215"/>
  <c r="E210"/>
  <c r="F205"/>
  <c r="G200"/>
  <c r="H195"/>
  <c r="I190"/>
  <c r="H187"/>
  <c r="B185"/>
  <c r="I182"/>
  <c r="C180"/>
  <c r="J177"/>
  <c r="D175"/>
  <c r="K172"/>
  <c r="E170"/>
  <c r="L167"/>
  <c r="F165"/>
  <c r="M162"/>
  <c r="G160"/>
  <c r="A158"/>
  <c r="H155"/>
  <c r="B153"/>
  <c r="I150"/>
  <c r="C148"/>
  <c r="C146"/>
  <c r="F144"/>
  <c r="I142"/>
  <c r="D141"/>
  <c r="G139"/>
  <c r="J137"/>
  <c r="E136"/>
  <c r="I134"/>
  <c r="N132"/>
  <c r="J131"/>
  <c r="A130"/>
  <c r="F128"/>
  <c r="B127"/>
  <c r="G125"/>
  <c r="L123"/>
  <c r="H122"/>
  <c r="M120"/>
  <c r="D119"/>
  <c r="N117"/>
  <c r="E116"/>
  <c r="J114"/>
  <c r="F113"/>
  <c r="K111"/>
  <c r="B110"/>
  <c r="E109"/>
  <c r="K108"/>
  <c r="C108"/>
  <c r="I107"/>
  <c r="A107"/>
  <c r="G106"/>
  <c r="M105"/>
  <c r="E105"/>
  <c r="K104"/>
  <c r="C104"/>
  <c r="I103"/>
  <c r="A103"/>
  <c r="G102"/>
  <c r="M101"/>
  <c r="E101"/>
  <c r="K100"/>
  <c r="C100"/>
  <c r="I99"/>
  <c r="A99"/>
  <c r="G98"/>
  <c r="M97"/>
  <c r="E97"/>
  <c r="K96"/>
  <c r="C96"/>
  <c r="H95"/>
  <c r="N94"/>
  <c r="F94"/>
  <c r="L93"/>
  <c r="D93"/>
  <c r="I92"/>
  <c r="A92"/>
  <c r="G91"/>
  <c r="M90"/>
  <c r="E90"/>
  <c r="K89"/>
  <c r="C89"/>
  <c r="I88"/>
  <c r="A88"/>
  <c r="G87"/>
  <c r="M86"/>
  <c r="E86"/>
  <c r="K85"/>
  <c r="C85"/>
  <c r="I84"/>
  <c r="A84"/>
  <c r="G83"/>
  <c r="M82"/>
  <c r="E82"/>
  <c r="K81"/>
  <c r="C81"/>
  <c r="I80"/>
  <c r="A80"/>
  <c r="G79"/>
  <c r="M78"/>
  <c r="E78"/>
  <c r="K77"/>
  <c r="C77"/>
  <c r="I76"/>
  <c r="A76"/>
  <c r="G75"/>
  <c r="M74"/>
  <c r="E74"/>
  <c r="K73"/>
  <c r="C73"/>
  <c r="I72"/>
  <c r="A72"/>
  <c r="G71"/>
  <c r="M70"/>
  <c r="E70"/>
  <c r="K69"/>
  <c r="C69"/>
  <c r="I68"/>
  <c r="A68"/>
  <c r="G67"/>
  <c r="M66"/>
  <c r="E66"/>
  <c r="K65"/>
  <c r="C65"/>
  <c r="I64"/>
  <c r="A64"/>
  <c r="G63"/>
  <c r="M62"/>
  <c r="E62"/>
  <c r="K61"/>
  <c r="C61"/>
  <c r="I60"/>
  <c r="A60"/>
  <c r="G59"/>
  <c r="M58"/>
  <c r="E58"/>
  <c r="K57"/>
  <c r="C57"/>
  <c r="I56"/>
  <c r="A56"/>
  <c r="G55"/>
  <c r="M54"/>
  <c r="E54"/>
  <c r="K53"/>
  <c r="C53"/>
  <c r="I52"/>
  <c r="A52"/>
  <c r="G51"/>
  <c r="M50"/>
  <c r="E50"/>
  <c r="K49"/>
  <c r="C49"/>
  <c r="I48"/>
  <c r="N47"/>
  <c r="F47"/>
  <c r="L46"/>
  <c r="D46"/>
  <c r="J45"/>
  <c r="B45"/>
  <c r="H44"/>
  <c r="N43"/>
  <c r="F43"/>
  <c r="L42"/>
  <c r="D42"/>
  <c r="J41"/>
  <c r="B41"/>
  <c r="H40"/>
  <c r="N39"/>
  <c r="F39"/>
  <c r="L38"/>
  <c r="D38"/>
  <c r="J37"/>
  <c r="B37"/>
  <c r="H36"/>
  <c r="N35"/>
  <c r="F35"/>
  <c r="L34"/>
  <c r="D34"/>
  <c r="J33"/>
  <c r="B33"/>
  <c r="H32"/>
  <c r="N31"/>
  <c r="F31"/>
  <c r="L30"/>
  <c r="D30"/>
  <c r="J29"/>
  <c r="B29"/>
  <c r="H28"/>
  <c r="N27"/>
  <c r="F27"/>
  <c r="L26"/>
  <c r="D26"/>
  <c r="J25"/>
  <c r="B25"/>
  <c r="H24"/>
  <c r="N23"/>
  <c r="F23"/>
  <c r="L22"/>
  <c r="D22"/>
  <c r="J21"/>
  <c r="B21"/>
  <c r="H20"/>
  <c r="N19"/>
  <c r="F19"/>
  <c r="L18"/>
  <c r="D18"/>
  <c r="J17"/>
  <c r="B17"/>
  <c r="H16"/>
  <c r="N15"/>
  <c r="F15"/>
  <c r="L14"/>
  <c r="D14"/>
  <c r="J13"/>
  <c r="B13"/>
  <c r="H12"/>
  <c r="N11"/>
  <c r="F11"/>
  <c r="L10"/>
  <c r="D10"/>
  <c r="J9"/>
  <c r="B9"/>
  <c r="H8"/>
  <c r="N7"/>
  <c r="F7"/>
  <c r="K6"/>
  <c r="E5"/>
  <c r="M488" i="2"/>
  <c r="B487"/>
  <c r="D485"/>
  <c r="A484"/>
  <c r="C482"/>
  <c r="M480"/>
  <c r="B479"/>
  <c r="D477"/>
  <c r="A476"/>
  <c r="C474"/>
  <c r="M472"/>
  <c r="B471"/>
  <c r="D469"/>
  <c r="A468"/>
  <c r="C466"/>
  <c r="M464"/>
  <c r="B463"/>
  <c r="D461"/>
  <c r="A460"/>
  <c r="C458"/>
  <c r="M456"/>
  <c r="B455"/>
  <c r="D453"/>
  <c r="A452"/>
  <c r="C450"/>
  <c r="M448"/>
  <c r="B447"/>
  <c r="D445"/>
  <c r="A444"/>
  <c r="C442"/>
  <c r="M440"/>
  <c r="B439"/>
  <c r="D437"/>
  <c r="A436"/>
  <c r="C434"/>
  <c r="M432"/>
  <c r="B431"/>
  <c r="D429"/>
  <c r="A428"/>
  <c r="C426"/>
  <c r="M424"/>
  <c r="B423"/>
  <c r="D421"/>
  <c r="A420"/>
  <c r="C418"/>
  <c r="M416"/>
  <c r="B415"/>
  <c r="D413"/>
  <c r="A412"/>
  <c r="C410"/>
  <c r="M408"/>
  <c r="B407"/>
  <c r="D405"/>
  <c r="A404"/>
  <c r="C402"/>
  <c r="M400"/>
  <c r="B399"/>
  <c r="D397"/>
  <c r="A396"/>
  <c r="C394"/>
  <c r="M392"/>
  <c r="B391"/>
  <c r="D389"/>
  <c r="A388"/>
  <c r="C386"/>
  <c r="M384"/>
  <c r="B383"/>
  <c r="D381"/>
  <c r="A380"/>
  <c r="C378"/>
  <c r="M376"/>
  <c r="B375"/>
  <c r="D373"/>
  <c r="A372"/>
  <c r="C370"/>
  <c r="M368"/>
  <c r="B367"/>
  <c r="D365"/>
  <c r="A364"/>
  <c r="C362"/>
  <c r="M360"/>
  <c r="B359"/>
  <c r="D357"/>
  <c r="A356"/>
  <c r="C354"/>
  <c r="M352"/>
  <c r="B351"/>
  <c r="D349"/>
  <c r="A348"/>
  <c r="C346"/>
  <c r="M344"/>
  <c r="B343"/>
  <c r="D341"/>
  <c r="A340"/>
  <c r="C338"/>
  <c r="M336"/>
  <c r="B335"/>
  <c r="D333"/>
  <c r="A332"/>
  <c r="C330"/>
  <c r="M328"/>
  <c r="B327"/>
  <c r="D325"/>
  <c r="A324"/>
  <c r="C322"/>
  <c r="M320"/>
  <c r="B319"/>
  <c r="D317"/>
  <c r="A316"/>
  <c r="K314"/>
  <c r="C314"/>
  <c r="H313"/>
  <c r="M312"/>
  <c r="E312"/>
  <c r="J311"/>
  <c r="B311"/>
  <c r="G310"/>
  <c r="L309"/>
  <c r="D309"/>
  <c r="I308"/>
  <c r="A308"/>
  <c r="F307"/>
  <c r="K306"/>
  <c r="C306"/>
  <c r="H305"/>
  <c r="M304"/>
  <c r="E304"/>
  <c r="J303"/>
  <c r="B303"/>
  <c r="G302"/>
  <c r="L301"/>
  <c r="D301"/>
  <c r="I300"/>
  <c r="A300"/>
  <c r="F299"/>
  <c r="K298"/>
  <c r="C298"/>
  <c r="H297"/>
  <c r="M296"/>
  <c r="E296"/>
  <c r="J295"/>
  <c r="B295"/>
  <c r="G294"/>
  <c r="L293"/>
  <c r="D293"/>
  <c r="I292"/>
  <c r="A292"/>
  <c r="F291"/>
  <c r="K290"/>
  <c r="C290"/>
  <c r="H289"/>
  <c r="M288"/>
  <c r="E288"/>
  <c r="J287"/>
  <c r="B287"/>
  <c r="G286"/>
  <c r="L285"/>
  <c r="D285"/>
  <c r="I284"/>
  <c r="A284"/>
  <c r="F283"/>
  <c r="K282"/>
  <c r="C282"/>
  <c r="H281"/>
  <c r="M280"/>
  <c r="E280"/>
  <c r="J279"/>
  <c r="B279"/>
  <c r="G278"/>
  <c r="L277"/>
  <c r="D277"/>
  <c r="I276"/>
  <c r="A276"/>
  <c r="F275"/>
  <c r="K274"/>
  <c r="C274"/>
  <c r="H273"/>
  <c r="M272"/>
  <c r="E272"/>
  <c r="J271"/>
  <c r="B271"/>
  <c r="G270"/>
  <c r="L269"/>
  <c r="D269"/>
  <c r="I268"/>
  <c r="A268"/>
  <c r="F267"/>
  <c r="K266"/>
  <c r="C266"/>
  <c r="H265"/>
  <c r="M264"/>
  <c r="E264"/>
  <c r="J263"/>
  <c r="B263"/>
  <c r="G262"/>
  <c r="L261"/>
  <c r="D261"/>
  <c r="I260"/>
  <c r="A260"/>
  <c r="F259"/>
  <c r="K258"/>
  <c r="C258"/>
  <c r="H257"/>
  <c r="M256"/>
  <c r="E256"/>
  <c r="J255"/>
  <c r="B255"/>
  <c r="G254"/>
  <c r="L253"/>
  <c r="D253"/>
  <c r="I252"/>
  <c r="A252"/>
  <c r="F251"/>
  <c r="K250"/>
  <c r="C250"/>
  <c r="H249"/>
  <c r="M248"/>
  <c r="E248"/>
  <c r="J247"/>
  <c r="B247"/>
  <c r="G246"/>
  <c r="L245"/>
  <c r="D245"/>
  <c r="I244"/>
  <c r="A244"/>
  <c r="F243"/>
  <c r="K242"/>
  <c r="C242"/>
  <c r="H241"/>
  <c r="M240"/>
  <c r="E240"/>
  <c r="J239"/>
  <c r="B239"/>
  <c r="G238"/>
  <c r="L237"/>
  <c r="D237"/>
  <c r="I236"/>
  <c r="A236"/>
  <c r="F235"/>
  <c r="K234"/>
  <c r="C234"/>
  <c r="H233"/>
  <c r="M232"/>
  <c r="E232"/>
  <c r="J231"/>
  <c r="B231"/>
  <c r="G230"/>
  <c r="L229"/>
  <c r="D229"/>
  <c r="I228"/>
  <c r="A228"/>
  <c r="F227"/>
  <c r="K226"/>
  <c r="C226"/>
  <c r="H225"/>
  <c r="M224"/>
  <c r="E224"/>
  <c r="J223"/>
  <c r="B223"/>
  <c r="G222"/>
  <c r="L221"/>
  <c r="D221"/>
  <c r="I220"/>
  <c r="A220"/>
  <c r="F219"/>
  <c r="K218"/>
  <c r="I367" i="3"/>
  <c r="B234"/>
  <c r="K188"/>
  <c r="B169"/>
  <c r="F149"/>
  <c r="D135"/>
  <c r="C123"/>
  <c r="B111"/>
  <c r="E107"/>
  <c r="A105"/>
  <c r="K102"/>
  <c r="G100"/>
  <c r="C98"/>
  <c r="M95"/>
  <c r="H93"/>
  <c r="C91"/>
  <c r="M88"/>
  <c r="I86"/>
  <c r="E84"/>
  <c r="A82"/>
  <c r="K79"/>
  <c r="G77"/>
  <c r="C75"/>
  <c r="M72"/>
  <c r="I70"/>
  <c r="E68"/>
  <c r="A66"/>
  <c r="K63"/>
  <c r="G61"/>
  <c r="C59"/>
  <c r="M56"/>
  <c r="I54"/>
  <c r="E52"/>
  <c r="A50"/>
  <c r="J47"/>
  <c r="F45"/>
  <c r="B43"/>
  <c r="L40"/>
  <c r="H38"/>
  <c r="D36"/>
  <c r="N33"/>
  <c r="J31"/>
  <c r="F29"/>
  <c r="B27"/>
  <c r="L24"/>
  <c r="H22"/>
  <c r="D20"/>
  <c r="N17"/>
  <c r="J15"/>
  <c r="F13"/>
  <c r="B11"/>
  <c r="L8"/>
  <c r="G6"/>
  <c r="M484" i="2"/>
  <c r="C478"/>
  <c r="A472"/>
  <c r="D465"/>
  <c r="B459"/>
  <c r="M452"/>
  <c r="C446"/>
  <c r="A440"/>
  <c r="D433"/>
  <c r="B427"/>
  <c r="M420"/>
  <c r="C414"/>
  <c r="A408"/>
  <c r="D401"/>
  <c r="B395"/>
  <c r="M388"/>
  <c r="C382"/>
  <c r="A376"/>
  <c r="D369"/>
  <c r="B363"/>
  <c r="M356"/>
  <c r="C350"/>
  <c r="A344"/>
  <c r="D337"/>
  <c r="B331"/>
  <c r="M324"/>
  <c r="C318"/>
  <c r="G314"/>
  <c r="L312"/>
  <c r="D311"/>
  <c r="H309"/>
  <c r="M307"/>
  <c r="E306"/>
  <c r="I304"/>
  <c r="A303"/>
  <c r="F301"/>
  <c r="J299"/>
  <c r="B298"/>
  <c r="G296"/>
  <c r="K294"/>
  <c r="C293"/>
  <c r="H291"/>
  <c r="L289"/>
  <c r="D288"/>
  <c r="I286"/>
  <c r="M284"/>
  <c r="E283"/>
  <c r="J281"/>
  <c r="A280"/>
  <c r="F278"/>
  <c r="K276"/>
  <c r="B275"/>
  <c r="G273"/>
  <c r="L271"/>
  <c r="C270"/>
  <c r="H268"/>
  <c r="M266"/>
  <c r="D265"/>
  <c r="I263"/>
  <c r="A262"/>
  <c r="E260"/>
  <c r="J258"/>
  <c r="B257"/>
  <c r="F255"/>
  <c r="K253"/>
  <c r="C252"/>
  <c r="G250"/>
  <c r="L248"/>
  <c r="D247"/>
  <c r="H245"/>
  <c r="M243"/>
  <c r="E242"/>
  <c r="I240"/>
  <c r="A239"/>
  <c r="F237"/>
  <c r="J235"/>
  <c r="B234"/>
  <c r="G232"/>
  <c r="K230"/>
  <c r="C229"/>
  <c r="H227"/>
  <c r="L225"/>
  <c r="D224"/>
  <c r="I222"/>
  <c r="M220"/>
  <c r="E219"/>
  <c r="A218"/>
  <c r="F217"/>
  <c r="K216"/>
  <c r="C216"/>
  <c r="H215"/>
  <c r="M214"/>
  <c r="E214"/>
  <c r="J213"/>
  <c r="B213"/>
  <c r="G212"/>
  <c r="L211"/>
  <c r="D211"/>
  <c r="I210"/>
  <c r="A210"/>
  <c r="F209"/>
  <c r="K208"/>
  <c r="C208"/>
  <c r="H207"/>
  <c r="M206"/>
  <c r="E206"/>
  <c r="J205"/>
  <c r="B205"/>
  <c r="G204"/>
  <c r="L203"/>
  <c r="D203"/>
  <c r="I202"/>
  <c r="A202"/>
  <c r="F201"/>
  <c r="K200"/>
  <c r="C200"/>
  <c r="H199"/>
  <c r="M198"/>
  <c r="E198"/>
  <c r="J197"/>
  <c r="B197"/>
  <c r="G196"/>
  <c r="L195"/>
  <c r="D195"/>
  <c r="I194"/>
  <c r="A194"/>
  <c r="F193"/>
  <c r="K192"/>
  <c r="C192"/>
  <c r="H191"/>
  <c r="M190"/>
  <c r="E190"/>
  <c r="J189"/>
  <c r="B189"/>
  <c r="G188"/>
  <c r="L187"/>
  <c r="D187"/>
  <c r="I186"/>
  <c r="A186"/>
  <c r="F185"/>
  <c r="K184"/>
  <c r="C184"/>
  <c r="H183"/>
  <c r="M182"/>
  <c r="E182"/>
  <c r="J181"/>
  <c r="B181"/>
  <c r="G180"/>
  <c r="L179"/>
  <c r="D179"/>
  <c r="I178"/>
  <c r="A178"/>
  <c r="F177"/>
  <c r="K176"/>
  <c r="C176"/>
  <c r="H175"/>
  <c r="M174"/>
  <c r="E174"/>
  <c r="J173"/>
  <c r="B173"/>
  <c r="G172"/>
  <c r="L171"/>
  <c r="D171"/>
  <c r="I170"/>
  <c r="A170"/>
  <c r="F169"/>
  <c r="K168"/>
  <c r="C168"/>
  <c r="H167"/>
  <c r="M166"/>
  <c r="E166"/>
  <c r="J165"/>
  <c r="B165"/>
  <c r="G164"/>
  <c r="L163"/>
  <c r="D163"/>
  <c r="I162"/>
  <c r="A162"/>
  <c r="F161"/>
  <c r="K160"/>
  <c r="C160"/>
  <c r="H159"/>
  <c r="M158"/>
  <c r="E158"/>
  <c r="J157"/>
  <c r="B157"/>
  <c r="G156"/>
  <c r="L155"/>
  <c r="D155"/>
  <c r="I154"/>
  <c r="A154"/>
  <c r="F153"/>
  <c r="K152"/>
  <c r="C152"/>
  <c r="H151"/>
  <c r="M150"/>
  <c r="E150"/>
  <c r="J149"/>
  <c r="B149"/>
  <c r="G148"/>
  <c r="L147"/>
  <c r="D147"/>
  <c r="I146"/>
  <c r="A146"/>
  <c r="F145"/>
  <c r="K144"/>
  <c r="C144"/>
  <c r="H143"/>
  <c r="M142"/>
  <c r="E142"/>
  <c r="J141"/>
  <c r="B141"/>
  <c r="G140"/>
  <c r="L139"/>
  <c r="D139"/>
  <c r="I138"/>
  <c r="A138"/>
  <c r="F137"/>
  <c r="K136"/>
  <c r="C136"/>
  <c r="H135"/>
  <c r="M134"/>
  <c r="E134"/>
  <c r="J133"/>
  <c r="B133"/>
  <c r="G132"/>
  <c r="L131"/>
  <c r="D131"/>
  <c r="I130"/>
  <c r="A130"/>
  <c r="F129"/>
  <c r="K128"/>
  <c r="C128"/>
  <c r="H127"/>
  <c r="M126"/>
  <c r="E126"/>
  <c r="J125"/>
  <c r="B125"/>
  <c r="G124"/>
  <c r="L123"/>
  <c r="D123"/>
  <c r="I122"/>
  <c r="A122"/>
  <c r="F121"/>
  <c r="K120"/>
  <c r="C120"/>
  <c r="H119"/>
  <c r="M118"/>
  <c r="E118"/>
  <c r="J117"/>
  <c r="B117"/>
  <c r="G116"/>
  <c r="L115"/>
  <c r="D115"/>
  <c r="J114"/>
  <c r="B114"/>
  <c r="H113"/>
  <c r="N112"/>
  <c r="F112"/>
  <c r="L111"/>
  <c r="D111"/>
  <c r="J110"/>
  <c r="B110"/>
  <c r="H109"/>
  <c r="N108"/>
  <c r="F108"/>
  <c r="L107"/>
  <c r="D107"/>
  <c r="J106"/>
  <c r="B106"/>
  <c r="H105"/>
  <c r="N104"/>
  <c r="F104"/>
  <c r="L103"/>
  <c r="D103"/>
  <c r="J102"/>
  <c r="B102"/>
  <c r="H101"/>
  <c r="N100"/>
  <c r="F100"/>
  <c r="L99"/>
  <c r="D99"/>
  <c r="J98"/>
  <c r="B98"/>
  <c r="H97"/>
  <c r="N96"/>
  <c r="F96"/>
  <c r="L95"/>
  <c r="D95"/>
  <c r="J94"/>
  <c r="B94"/>
  <c r="H93"/>
  <c r="N92"/>
  <c r="F92"/>
  <c r="L91"/>
  <c r="D91"/>
  <c r="J90"/>
  <c r="B90"/>
  <c r="H89"/>
  <c r="N88"/>
  <c r="F88"/>
  <c r="L87"/>
  <c r="D87"/>
  <c r="J86"/>
  <c r="B86"/>
  <c r="H85"/>
  <c r="N84"/>
  <c r="F84"/>
  <c r="L83"/>
  <c r="D83"/>
  <c r="J82"/>
  <c r="B82"/>
  <c r="H81"/>
  <c r="N80"/>
  <c r="F80"/>
  <c r="L79"/>
  <c r="D79"/>
  <c r="J78"/>
  <c r="B78"/>
  <c r="H77"/>
  <c r="N76"/>
  <c r="F76"/>
  <c r="L75"/>
  <c r="D75"/>
  <c r="J74"/>
  <c r="B74"/>
  <c r="H73"/>
  <c r="N72"/>
  <c r="F72"/>
  <c r="L71"/>
  <c r="D71"/>
  <c r="J70"/>
  <c r="B70"/>
  <c r="H69"/>
  <c r="N68"/>
  <c r="F68"/>
  <c r="L67"/>
  <c r="D67"/>
  <c r="J66"/>
  <c r="B66"/>
  <c r="H65"/>
  <c r="N64"/>
  <c r="F64"/>
  <c r="L63"/>
  <c r="D63"/>
  <c r="J62"/>
  <c r="B62"/>
  <c r="H61"/>
  <c r="N60"/>
  <c r="F60"/>
  <c r="L59"/>
  <c r="D59"/>
  <c r="J58"/>
  <c r="B58"/>
  <c r="H57"/>
  <c r="N56"/>
  <c r="F56"/>
  <c r="L55"/>
  <c r="D55"/>
  <c r="J54"/>
  <c r="B54"/>
  <c r="H53"/>
  <c r="N52"/>
  <c r="F52"/>
  <c r="L51"/>
  <c r="D51"/>
  <c r="J50"/>
  <c r="B50"/>
  <c r="H49"/>
  <c r="N48"/>
  <c r="F48"/>
  <c r="L47"/>
  <c r="D47"/>
  <c r="J46"/>
  <c r="B46"/>
  <c r="H45"/>
  <c r="N44"/>
  <c r="F44"/>
  <c r="L43"/>
  <c r="D43"/>
  <c r="J42"/>
  <c r="B42"/>
  <c r="H41"/>
  <c r="N40"/>
  <c r="F40"/>
  <c r="L39"/>
  <c r="D39"/>
  <c r="J38"/>
  <c r="B38"/>
  <c r="H37"/>
  <c r="N36"/>
  <c r="F36"/>
  <c r="L35"/>
  <c r="D35"/>
  <c r="J34"/>
  <c r="B34"/>
  <c r="H33"/>
  <c r="N32"/>
  <c r="F32"/>
  <c r="L31"/>
  <c r="D31"/>
  <c r="J30"/>
  <c r="B30"/>
  <c r="H29"/>
  <c r="N28"/>
  <c r="F28"/>
  <c r="L27"/>
  <c r="D27"/>
  <c r="J26"/>
  <c r="B26"/>
  <c r="H25"/>
  <c r="N24"/>
  <c r="F24"/>
  <c r="L23"/>
  <c r="D23"/>
  <c r="J22"/>
  <c r="B22"/>
  <c r="H21"/>
  <c r="N20"/>
  <c r="F20"/>
  <c r="L19"/>
  <c r="D19"/>
  <c r="J18"/>
  <c r="B18"/>
  <c r="H17"/>
  <c r="N16"/>
  <c r="F16"/>
  <c r="L15"/>
  <c r="D15"/>
  <c r="J14"/>
  <c r="B14"/>
  <c r="H13"/>
  <c r="N12"/>
  <c r="F12"/>
  <c r="L11"/>
  <c r="D11"/>
  <c r="J10"/>
  <c r="B10"/>
  <c r="H9"/>
  <c r="N8"/>
  <c r="F8"/>
  <c r="L7"/>
  <c r="D7"/>
  <c r="I6"/>
  <c r="A5"/>
  <c r="B619" i="1"/>
  <c r="D617"/>
  <c r="A616"/>
  <c r="C614"/>
  <c r="M612"/>
  <c r="B611"/>
  <c r="D609"/>
  <c r="A608"/>
  <c r="D607"/>
  <c r="A606"/>
  <c r="C604"/>
  <c r="M602"/>
  <c r="C602"/>
  <c r="M600"/>
  <c r="E387" i="3"/>
  <c r="E247"/>
  <c r="B193"/>
  <c r="H171"/>
  <c r="L151"/>
  <c r="A137"/>
  <c r="L124"/>
  <c r="F112"/>
  <c r="H107"/>
  <c r="D105"/>
  <c r="N102"/>
  <c r="J100"/>
  <c r="F98"/>
  <c r="B96"/>
  <c r="K93"/>
  <c r="F91"/>
  <c r="B89"/>
  <c r="L86"/>
  <c r="H84"/>
  <c r="D82"/>
  <c r="N79"/>
  <c r="J77"/>
  <c r="F75"/>
  <c r="B73"/>
  <c r="L70"/>
  <c r="H68"/>
  <c r="D66"/>
  <c r="N63"/>
  <c r="J61"/>
  <c r="F59"/>
  <c r="B57"/>
  <c r="L54"/>
  <c r="H52"/>
  <c r="D50"/>
  <c r="M47"/>
  <c r="I45"/>
  <c r="E43"/>
  <c r="A41"/>
  <c r="K38"/>
  <c r="G36"/>
  <c r="C34"/>
  <c r="M31"/>
  <c r="I29"/>
  <c r="E27"/>
  <c r="A25"/>
  <c r="K22"/>
  <c r="G20"/>
  <c r="C18"/>
  <c r="M15"/>
  <c r="I13"/>
  <c r="E11"/>
  <c r="A9"/>
  <c r="J6"/>
  <c r="C485" i="2"/>
  <c r="A479"/>
  <c r="D472"/>
  <c r="B466"/>
  <c r="M459"/>
  <c r="C453"/>
  <c r="A447"/>
  <c r="D440"/>
  <c r="B434"/>
  <c r="M427"/>
  <c r="C421"/>
  <c r="A415"/>
  <c r="D408"/>
  <c r="B402"/>
  <c r="M395"/>
  <c r="C389"/>
  <c r="A383"/>
  <c r="D376"/>
  <c r="B370"/>
  <c r="M363"/>
  <c r="C357"/>
  <c r="A351"/>
  <c r="D344"/>
  <c r="B338"/>
  <c r="M331"/>
  <c r="C325"/>
  <c r="A319"/>
  <c r="J314"/>
  <c r="B313"/>
  <c r="F311"/>
  <c r="K309"/>
  <c r="C308"/>
  <c r="G306"/>
  <c r="L304"/>
  <c r="D303"/>
  <c r="H301"/>
  <c r="M299"/>
  <c r="E298"/>
  <c r="I296"/>
  <c r="A295"/>
  <c r="F293"/>
  <c r="J291"/>
  <c r="B290"/>
  <c r="G288"/>
  <c r="K286"/>
  <c r="C285"/>
  <c r="H283"/>
  <c r="L281"/>
  <c r="D280"/>
  <c r="I278"/>
  <c r="M276"/>
  <c r="E275"/>
  <c r="J273"/>
  <c r="A272"/>
  <c r="F270"/>
  <c r="K268"/>
  <c r="B267"/>
  <c r="G265"/>
  <c r="L263"/>
  <c r="C262"/>
  <c r="H260"/>
  <c r="M258"/>
  <c r="D257"/>
  <c r="I255"/>
  <c r="A254"/>
  <c r="E252"/>
  <c r="J250"/>
  <c r="B249"/>
  <c r="F247"/>
  <c r="K245"/>
  <c r="C244"/>
  <c r="G242"/>
  <c r="L240"/>
  <c r="D239"/>
  <c r="H237"/>
  <c r="M235"/>
  <c r="E234"/>
  <c r="I232"/>
  <c r="A231"/>
  <c r="F229"/>
  <c r="J227"/>
  <c r="B226"/>
  <c r="G224"/>
  <c r="K222"/>
  <c r="C221"/>
  <c r="H219"/>
  <c r="B218"/>
  <c r="G217"/>
  <c r="L216"/>
  <c r="D216"/>
  <c r="I215"/>
  <c r="A215"/>
  <c r="F214"/>
  <c r="K213"/>
  <c r="C213"/>
  <c r="H212"/>
  <c r="M211"/>
  <c r="E211"/>
  <c r="J210"/>
  <c r="B210"/>
  <c r="G209"/>
  <c r="L208"/>
  <c r="D208"/>
  <c r="I207"/>
  <c r="A207"/>
  <c r="F206"/>
  <c r="K205"/>
  <c r="C205"/>
  <c r="H204"/>
  <c r="M203"/>
  <c r="E203"/>
  <c r="J202"/>
  <c r="B202"/>
  <c r="G201"/>
  <c r="L200"/>
  <c r="D200"/>
  <c r="I199"/>
  <c r="A199"/>
  <c r="F198"/>
  <c r="K197"/>
  <c r="C197"/>
  <c r="H196"/>
  <c r="M195"/>
  <c r="E195"/>
  <c r="J194"/>
  <c r="B194"/>
  <c r="G193"/>
  <c r="L192"/>
  <c r="D192"/>
  <c r="I191"/>
  <c r="A191"/>
  <c r="F190"/>
  <c r="K189"/>
  <c r="C189"/>
  <c r="H188"/>
  <c r="M187"/>
  <c r="E187"/>
  <c r="J186"/>
  <c r="B186"/>
  <c r="G185"/>
  <c r="L184"/>
  <c r="D184"/>
  <c r="I183"/>
  <c r="A183"/>
  <c r="F182"/>
  <c r="K181"/>
  <c r="C181"/>
  <c r="H180"/>
  <c r="M179"/>
  <c r="E179"/>
  <c r="J178"/>
  <c r="B178"/>
  <c r="G177"/>
  <c r="L176"/>
  <c r="D176"/>
  <c r="I175"/>
  <c r="A175"/>
  <c r="F174"/>
  <c r="K173"/>
  <c r="C173"/>
  <c r="H172"/>
  <c r="M171"/>
  <c r="E171"/>
  <c r="J170"/>
  <c r="B170"/>
  <c r="G169"/>
  <c r="L168"/>
  <c r="D168"/>
  <c r="I167"/>
  <c r="A167"/>
  <c r="F166"/>
  <c r="K165"/>
  <c r="C165"/>
  <c r="H164"/>
  <c r="M163"/>
  <c r="E163"/>
  <c r="J162"/>
  <c r="B162"/>
  <c r="G161"/>
  <c r="L160"/>
  <c r="D160"/>
  <c r="I159"/>
  <c r="A159"/>
  <c r="F158"/>
  <c r="K157"/>
  <c r="C157"/>
  <c r="H156"/>
  <c r="M155"/>
  <c r="E155"/>
  <c r="J154"/>
  <c r="B154"/>
  <c r="G153"/>
  <c r="L152"/>
  <c r="D152"/>
  <c r="I151"/>
  <c r="A151"/>
  <c r="F150"/>
  <c r="K149"/>
  <c r="C149"/>
  <c r="H148"/>
  <c r="M147"/>
  <c r="E147"/>
  <c r="J146"/>
  <c r="B146"/>
  <c r="G145"/>
  <c r="L144"/>
  <c r="D144"/>
  <c r="I143"/>
  <c r="A143"/>
  <c r="F142"/>
  <c r="K141"/>
  <c r="C141"/>
  <c r="H140"/>
  <c r="M139"/>
  <c r="E139"/>
  <c r="J138"/>
  <c r="B138"/>
  <c r="G137"/>
  <c r="L136"/>
  <c r="D136"/>
  <c r="I135"/>
  <c r="A135"/>
  <c r="F134"/>
  <c r="K133"/>
  <c r="C133"/>
  <c r="H132"/>
  <c r="M131"/>
  <c r="E131"/>
  <c r="J130"/>
  <c r="B130"/>
  <c r="G129"/>
  <c r="L128"/>
  <c r="D128"/>
  <c r="I127"/>
  <c r="A127"/>
  <c r="F126"/>
  <c r="K125"/>
  <c r="C125"/>
  <c r="H124"/>
  <c r="M123"/>
  <c r="E123"/>
  <c r="J122"/>
  <c r="B122"/>
  <c r="G121"/>
  <c r="L120"/>
  <c r="D120"/>
  <c r="I119"/>
  <c r="A119"/>
  <c r="F118"/>
  <c r="K117"/>
  <c r="C117"/>
  <c r="H116"/>
  <c r="M115"/>
  <c r="E115"/>
  <c r="K114"/>
  <c r="C114"/>
  <c r="I113"/>
  <c r="A113"/>
  <c r="G112"/>
  <c r="M111"/>
  <c r="E111"/>
  <c r="K110"/>
  <c r="C110"/>
  <c r="I109"/>
  <c r="A109"/>
  <c r="G108"/>
  <c r="M107"/>
  <c r="E107"/>
  <c r="K106"/>
  <c r="C106"/>
  <c r="I105"/>
  <c r="A105"/>
  <c r="G104"/>
  <c r="M103"/>
  <c r="E103"/>
  <c r="K102"/>
  <c r="C102"/>
  <c r="I101"/>
  <c r="A101"/>
  <c r="G100"/>
  <c r="M99"/>
  <c r="E99"/>
  <c r="K98"/>
  <c r="C98"/>
  <c r="I97"/>
  <c r="A97"/>
  <c r="G96"/>
  <c r="M95"/>
  <c r="E95"/>
  <c r="K94"/>
  <c r="C94"/>
  <c r="I93"/>
  <c r="A93"/>
  <c r="G92"/>
  <c r="M91"/>
  <c r="E91"/>
  <c r="K90"/>
  <c r="C90"/>
  <c r="I89"/>
  <c r="A89"/>
  <c r="G88"/>
  <c r="M87"/>
  <c r="E87"/>
  <c r="K86"/>
  <c r="C86"/>
  <c r="I85"/>
  <c r="A85"/>
  <c r="G84"/>
  <c r="M83"/>
  <c r="E83"/>
  <c r="K82"/>
  <c r="C82"/>
  <c r="I81"/>
  <c r="A81"/>
  <c r="G80"/>
  <c r="M79"/>
  <c r="E79"/>
  <c r="K78"/>
  <c r="C78"/>
  <c r="I77"/>
  <c r="A77"/>
  <c r="G76"/>
  <c r="M75"/>
  <c r="E75"/>
  <c r="K74"/>
  <c r="C74"/>
  <c r="I73"/>
  <c r="A73"/>
  <c r="G72"/>
  <c r="M71"/>
  <c r="E71"/>
  <c r="K70"/>
  <c r="C70"/>
  <c r="I69"/>
  <c r="A69"/>
  <c r="G68"/>
  <c r="M67"/>
  <c r="E67"/>
  <c r="K66"/>
  <c r="C66"/>
  <c r="I65"/>
  <c r="A65"/>
  <c r="G64"/>
  <c r="M63"/>
  <c r="E63"/>
  <c r="K62"/>
  <c r="C62"/>
  <c r="I61"/>
  <c r="A61"/>
  <c r="G60"/>
  <c r="M59"/>
  <c r="E59"/>
  <c r="K58"/>
  <c r="C58"/>
  <c r="I57"/>
  <c r="A57"/>
  <c r="G56"/>
  <c r="M55"/>
  <c r="E55"/>
  <c r="K54"/>
  <c r="C54"/>
  <c r="I53"/>
  <c r="A53"/>
  <c r="G52"/>
  <c r="M51"/>
  <c r="E51"/>
  <c r="K50"/>
  <c r="C50"/>
  <c r="I49"/>
  <c r="A49"/>
  <c r="G48"/>
  <c r="M47"/>
  <c r="E47"/>
  <c r="K46"/>
  <c r="C46"/>
  <c r="I45"/>
  <c r="A45"/>
  <c r="G44"/>
  <c r="M43"/>
  <c r="E43"/>
  <c r="K42"/>
  <c r="C42"/>
  <c r="I41"/>
  <c r="A41"/>
  <c r="G40"/>
  <c r="M39"/>
  <c r="E39"/>
  <c r="K38"/>
  <c r="C38"/>
  <c r="I37"/>
  <c r="A37"/>
  <c r="G36"/>
  <c r="M35"/>
  <c r="E35"/>
  <c r="K34"/>
  <c r="C34"/>
  <c r="I33"/>
  <c r="A33"/>
  <c r="G32"/>
  <c r="M31"/>
  <c r="E31"/>
  <c r="K30"/>
  <c r="C30"/>
  <c r="I29"/>
  <c r="A29"/>
  <c r="G28"/>
  <c r="M27"/>
  <c r="E27"/>
  <c r="K26"/>
  <c r="C26"/>
  <c r="I25"/>
  <c r="A25"/>
  <c r="G24"/>
  <c r="M23"/>
  <c r="E23"/>
  <c r="K22"/>
  <c r="C22"/>
  <c r="I21"/>
  <c r="A21"/>
  <c r="G20"/>
  <c r="M19"/>
  <c r="E19"/>
  <c r="K18"/>
  <c r="C18"/>
  <c r="I17"/>
  <c r="A17"/>
  <c r="G16"/>
  <c r="M15"/>
  <c r="E15"/>
  <c r="K14"/>
  <c r="C14"/>
  <c r="I13"/>
  <c r="A13"/>
  <c r="G12"/>
  <c r="M11"/>
  <c r="E11"/>
  <c r="K10"/>
  <c r="C10"/>
  <c r="I9"/>
  <c r="A9"/>
  <c r="G8"/>
  <c r="M7"/>
  <c r="E7"/>
  <c r="J6"/>
  <c r="D5"/>
  <c r="C619" i="1"/>
  <c r="M617"/>
  <c r="B616"/>
  <c r="D614"/>
  <c r="A613"/>
  <c r="C611"/>
  <c r="M609"/>
  <c r="B608"/>
  <c r="E607"/>
  <c r="B606"/>
  <c r="D604"/>
  <c r="A603"/>
  <c r="D602"/>
  <c r="A601"/>
  <c r="D408" i="3"/>
  <c r="G260"/>
  <c r="A198"/>
  <c r="A174"/>
  <c r="E154"/>
  <c r="K138"/>
  <c r="B126"/>
  <c r="A114"/>
  <c r="M107"/>
  <c r="I105"/>
  <c r="E103"/>
  <c r="A101"/>
  <c r="K98"/>
  <c r="G96"/>
  <c r="B94"/>
  <c r="K91"/>
  <c r="G89"/>
  <c r="C87"/>
  <c r="M84"/>
  <c r="I82"/>
  <c r="E80"/>
  <c r="A78"/>
  <c r="K75"/>
  <c r="G73"/>
  <c r="C71"/>
  <c r="M68"/>
  <c r="I66"/>
  <c r="E64"/>
  <c r="A62"/>
  <c r="K59"/>
  <c r="G57"/>
  <c r="C55"/>
  <c r="M52"/>
  <c r="I50"/>
  <c r="D48"/>
  <c r="N45"/>
  <c r="J43"/>
  <c r="F41"/>
  <c r="B39"/>
  <c r="L36"/>
  <c r="H34"/>
  <c r="D32"/>
  <c r="N29"/>
  <c r="J27"/>
  <c r="F25"/>
  <c r="B23"/>
  <c r="L20"/>
  <c r="H18"/>
  <c r="D16"/>
  <c r="N13"/>
  <c r="J11"/>
  <c r="F9"/>
  <c r="B7"/>
  <c r="C486" i="2"/>
  <c r="A480"/>
  <c r="D473"/>
  <c r="B467"/>
  <c r="M460"/>
  <c r="C454"/>
  <c r="A448"/>
  <c r="D441"/>
  <c r="B435"/>
  <c r="M428"/>
  <c r="C422"/>
  <c r="A416"/>
  <c r="D409"/>
  <c r="B403"/>
  <c r="M396"/>
  <c r="C390"/>
  <c r="A384"/>
  <c r="D377"/>
  <c r="B371"/>
  <c r="M364"/>
  <c r="C358"/>
  <c r="A352"/>
  <c r="D345"/>
  <c r="B339"/>
  <c r="M332"/>
  <c r="C326"/>
  <c r="A320"/>
  <c r="M314"/>
  <c r="D313"/>
  <c r="I311"/>
  <c r="A310"/>
  <c r="E308"/>
  <c r="J306"/>
  <c r="B305"/>
  <c r="F303"/>
  <c r="K301"/>
  <c r="C300"/>
  <c r="G298"/>
  <c r="L296"/>
  <c r="D295"/>
  <c r="H293"/>
  <c r="M291"/>
  <c r="E290"/>
  <c r="I288"/>
  <c r="A287"/>
  <c r="F285"/>
  <c r="J283"/>
  <c r="B282"/>
  <c r="G280"/>
  <c r="K278"/>
  <c r="C277"/>
  <c r="H275"/>
  <c r="L273"/>
  <c r="D272"/>
  <c r="I270"/>
  <c r="M268"/>
  <c r="E267"/>
  <c r="J265"/>
  <c r="A264"/>
  <c r="F262"/>
  <c r="K260"/>
  <c r="B259"/>
  <c r="G257"/>
  <c r="L255"/>
  <c r="C254"/>
  <c r="H252"/>
  <c r="M250"/>
  <c r="D249"/>
  <c r="I247"/>
  <c r="A246"/>
  <c r="E244"/>
  <c r="J242"/>
  <c r="B241"/>
  <c r="F239"/>
  <c r="K237"/>
  <c r="C236"/>
  <c r="G234"/>
  <c r="L232"/>
  <c r="D231"/>
  <c r="H229"/>
  <c r="M227"/>
  <c r="E226"/>
  <c r="I224"/>
  <c r="A223"/>
  <c r="F221"/>
  <c r="J219"/>
  <c r="C218"/>
  <c r="H217"/>
  <c r="M216"/>
  <c r="E216"/>
  <c r="J215"/>
  <c r="B215"/>
  <c r="G214"/>
  <c r="L213"/>
  <c r="D213"/>
  <c r="I212"/>
  <c r="A212"/>
  <c r="F211"/>
  <c r="K210"/>
  <c r="C210"/>
  <c r="H209"/>
  <c r="M208"/>
  <c r="E208"/>
  <c r="J207"/>
  <c r="B207"/>
  <c r="G206"/>
  <c r="L205"/>
  <c r="D205"/>
  <c r="I204"/>
  <c r="A204"/>
  <c r="F203"/>
  <c r="K202"/>
  <c r="C202"/>
  <c r="H201"/>
  <c r="M200"/>
  <c r="E200"/>
  <c r="J199"/>
  <c r="B199"/>
  <c r="G198"/>
  <c r="L197"/>
  <c r="D197"/>
  <c r="I196"/>
  <c r="A196"/>
  <c r="F195"/>
  <c r="K194"/>
  <c r="C194"/>
  <c r="H193"/>
  <c r="M192"/>
  <c r="E192"/>
  <c r="J191"/>
  <c r="B191"/>
  <c r="G190"/>
  <c r="L189"/>
  <c r="D189"/>
  <c r="I188"/>
  <c r="A188"/>
  <c r="F187"/>
  <c r="K186"/>
  <c r="C186"/>
  <c r="H185"/>
  <c r="M184"/>
  <c r="E184"/>
  <c r="J183"/>
  <c r="B183"/>
  <c r="G182"/>
  <c r="L181"/>
  <c r="D181"/>
  <c r="I180"/>
  <c r="A180"/>
  <c r="F179"/>
  <c r="K178"/>
  <c r="C178"/>
  <c r="H177"/>
  <c r="M176"/>
  <c r="E176"/>
  <c r="J175"/>
  <c r="B175"/>
  <c r="G174"/>
  <c r="L173"/>
  <c r="D173"/>
  <c r="I172"/>
  <c r="A172"/>
  <c r="F171"/>
  <c r="K170"/>
  <c r="C170"/>
  <c r="H169"/>
  <c r="M168"/>
  <c r="E168"/>
  <c r="J167"/>
  <c r="B167"/>
  <c r="G166"/>
  <c r="L165"/>
  <c r="D165"/>
  <c r="I164"/>
  <c r="A164"/>
  <c r="F163"/>
  <c r="K162"/>
  <c r="C162"/>
  <c r="H161"/>
  <c r="M160"/>
  <c r="E160"/>
  <c r="J159"/>
  <c r="B159"/>
  <c r="G158"/>
  <c r="L157"/>
  <c r="D157"/>
  <c r="I156"/>
  <c r="A156"/>
  <c r="F155"/>
  <c r="K154"/>
  <c r="C154"/>
  <c r="H153"/>
  <c r="M152"/>
  <c r="E152"/>
  <c r="J151"/>
  <c r="B151"/>
  <c r="G150"/>
  <c r="L149"/>
  <c r="D149"/>
  <c r="I148"/>
  <c r="A148"/>
  <c r="F147"/>
  <c r="K146"/>
  <c r="C146"/>
  <c r="H145"/>
  <c r="M144"/>
  <c r="E144"/>
  <c r="J143"/>
  <c r="B143"/>
  <c r="G142"/>
  <c r="L141"/>
  <c r="D141"/>
  <c r="I140"/>
  <c r="A140"/>
  <c r="F139"/>
  <c r="K138"/>
  <c r="C138"/>
  <c r="H137"/>
  <c r="M136"/>
  <c r="E136"/>
  <c r="J135"/>
  <c r="B135"/>
  <c r="G134"/>
  <c r="L133"/>
  <c r="D133"/>
  <c r="I132"/>
  <c r="A132"/>
  <c r="F131"/>
  <c r="K130"/>
  <c r="C130"/>
  <c r="H129"/>
  <c r="M128"/>
  <c r="E128"/>
  <c r="J127"/>
  <c r="B127"/>
  <c r="G126"/>
  <c r="L125"/>
  <c r="D125"/>
  <c r="I124"/>
  <c r="A124"/>
  <c r="F123"/>
  <c r="K122"/>
  <c r="C122"/>
  <c r="H121"/>
  <c r="M120"/>
  <c r="E120"/>
  <c r="J119"/>
  <c r="B119"/>
  <c r="G118"/>
  <c r="L117"/>
  <c r="D117"/>
  <c r="I116"/>
  <c r="A116"/>
  <c r="F115"/>
  <c r="L114"/>
  <c r="D114"/>
  <c r="J113"/>
  <c r="B113"/>
  <c r="H112"/>
  <c r="N111"/>
  <c r="F111"/>
  <c r="L110"/>
  <c r="D110"/>
  <c r="J109"/>
  <c r="B109"/>
  <c r="H108"/>
  <c r="N107"/>
  <c r="F107"/>
  <c r="L106"/>
  <c r="D106"/>
  <c r="J105"/>
  <c r="B105"/>
  <c r="H104"/>
  <c r="N103"/>
  <c r="F103"/>
  <c r="L102"/>
  <c r="D102"/>
  <c r="J101"/>
  <c r="B101"/>
  <c r="H100"/>
  <c r="N99"/>
  <c r="F99"/>
  <c r="L98"/>
  <c r="D98"/>
  <c r="J97"/>
  <c r="B97"/>
  <c r="H96"/>
  <c r="N95"/>
  <c r="F95"/>
  <c r="L94"/>
  <c r="D94"/>
  <c r="J93"/>
  <c r="B93"/>
  <c r="H92"/>
  <c r="N91"/>
  <c r="F91"/>
  <c r="L90"/>
  <c r="D90"/>
  <c r="J89"/>
  <c r="B89"/>
  <c r="H88"/>
  <c r="N87"/>
  <c r="F87"/>
  <c r="L86"/>
  <c r="D86"/>
  <c r="J85"/>
  <c r="B85"/>
  <c r="H84"/>
  <c r="N83"/>
  <c r="F83"/>
  <c r="L82"/>
  <c r="D82"/>
  <c r="J81"/>
  <c r="B81"/>
  <c r="H80"/>
  <c r="N79"/>
  <c r="F79"/>
  <c r="L78"/>
  <c r="D78"/>
  <c r="J77"/>
  <c r="B77"/>
  <c r="H76"/>
  <c r="N75"/>
  <c r="F75"/>
  <c r="L74"/>
  <c r="D74"/>
  <c r="J73"/>
  <c r="B73"/>
  <c r="H72"/>
  <c r="N71"/>
  <c r="F71"/>
  <c r="L70"/>
  <c r="D70"/>
  <c r="J69"/>
  <c r="B69"/>
  <c r="H68"/>
  <c r="N67"/>
  <c r="F67"/>
  <c r="L66"/>
  <c r="D66"/>
  <c r="J65"/>
  <c r="B65"/>
  <c r="H64"/>
  <c r="N63"/>
  <c r="F63"/>
  <c r="L62"/>
  <c r="D62"/>
  <c r="J61"/>
  <c r="B61"/>
  <c r="H60"/>
  <c r="N59"/>
  <c r="F59"/>
  <c r="L58"/>
  <c r="D58"/>
  <c r="J57"/>
  <c r="B57"/>
  <c r="H56"/>
  <c r="N55"/>
  <c r="F55"/>
  <c r="L54"/>
  <c r="D54"/>
  <c r="J53"/>
  <c r="B53"/>
  <c r="H52"/>
  <c r="N51"/>
  <c r="F51"/>
  <c r="L50"/>
  <c r="D50"/>
  <c r="J49"/>
  <c r="B49"/>
  <c r="H48"/>
  <c r="N47"/>
  <c r="F47"/>
  <c r="L46"/>
  <c r="D46"/>
  <c r="J45"/>
  <c r="B45"/>
  <c r="H44"/>
  <c r="N43"/>
  <c r="F43"/>
  <c r="L42"/>
  <c r="D42"/>
  <c r="J41"/>
  <c r="B41"/>
  <c r="H40"/>
  <c r="N39"/>
  <c r="F39"/>
  <c r="L38"/>
  <c r="D38"/>
  <c r="J37"/>
  <c r="B37"/>
  <c r="H36"/>
  <c r="N35"/>
  <c r="F35"/>
  <c r="L34"/>
  <c r="D34"/>
  <c r="J33"/>
  <c r="B33"/>
  <c r="H32"/>
  <c r="N31"/>
  <c r="F31"/>
  <c r="L30"/>
  <c r="D30"/>
  <c r="J29"/>
  <c r="B29"/>
  <c r="H28"/>
  <c r="N27"/>
  <c r="F27"/>
  <c r="L26"/>
  <c r="D26"/>
  <c r="J25"/>
  <c r="B25"/>
  <c r="H24"/>
  <c r="N23"/>
  <c r="F23"/>
  <c r="L22"/>
  <c r="D22"/>
  <c r="J21"/>
  <c r="B21"/>
  <c r="H20"/>
  <c r="N19"/>
  <c r="F19"/>
  <c r="L18"/>
  <c r="D18"/>
  <c r="J17"/>
  <c r="B17"/>
  <c r="H16"/>
  <c r="N15"/>
  <c r="F15"/>
  <c r="L14"/>
  <c r="D14"/>
  <c r="J13"/>
  <c r="B13"/>
  <c r="H12"/>
  <c r="N11"/>
  <c r="F11"/>
  <c r="L10"/>
  <c r="D10"/>
  <c r="J9"/>
  <c r="B9"/>
  <c r="H8"/>
  <c r="N7"/>
  <c r="F7"/>
  <c r="K6"/>
  <c r="E5"/>
  <c r="D619" i="1"/>
  <c r="A618"/>
  <c r="C616"/>
  <c r="M614"/>
  <c r="B613"/>
  <c r="D611"/>
  <c r="A610"/>
  <c r="C608"/>
  <c r="F607"/>
  <c r="C606"/>
  <c r="M604"/>
  <c r="B603"/>
  <c r="E602"/>
  <c r="B601"/>
  <c r="M459" i="3"/>
  <c r="G273"/>
  <c r="M202"/>
  <c r="G176"/>
  <c r="K156"/>
  <c r="C140"/>
  <c r="K127"/>
  <c r="J115"/>
  <c r="B108"/>
  <c r="L105"/>
  <c r="H103"/>
  <c r="D101"/>
  <c r="N98"/>
  <c r="J96"/>
  <c r="E94"/>
  <c r="N91"/>
  <c r="J89"/>
  <c r="F87"/>
  <c r="B85"/>
  <c r="L82"/>
  <c r="H80"/>
  <c r="D78"/>
  <c r="N75"/>
  <c r="J73"/>
  <c r="F71"/>
  <c r="B69"/>
  <c r="L66"/>
  <c r="H64"/>
  <c r="D62"/>
  <c r="N59"/>
  <c r="J57"/>
  <c r="F55"/>
  <c r="B53"/>
  <c r="L50"/>
  <c r="G48"/>
  <c r="C46"/>
  <c r="M43"/>
  <c r="I41"/>
  <c r="E39"/>
  <c r="A37"/>
  <c r="K34"/>
  <c r="G32"/>
  <c r="C30"/>
  <c r="M27"/>
  <c r="I25"/>
  <c r="E23"/>
  <c r="A21"/>
  <c r="K18"/>
  <c r="G16"/>
  <c r="C14"/>
  <c r="M11"/>
  <c r="I9"/>
  <c r="E7"/>
  <c r="A487" i="2"/>
  <c r="D480"/>
  <c r="B474"/>
  <c r="M467"/>
  <c r="C461"/>
  <c r="A455"/>
  <c r="D448"/>
  <c r="B442"/>
  <c r="M435"/>
  <c r="C429"/>
  <c r="A423"/>
  <c r="D416"/>
  <c r="B410"/>
  <c r="M403"/>
  <c r="C397"/>
  <c r="A391"/>
  <c r="D384"/>
  <c r="B378"/>
  <c r="M371"/>
  <c r="C365"/>
  <c r="A359"/>
  <c r="D352"/>
  <c r="B346"/>
  <c r="M339"/>
  <c r="C333"/>
  <c r="A327"/>
  <c r="D320"/>
  <c r="B315"/>
  <c r="G313"/>
  <c r="L311"/>
  <c r="C310"/>
  <c r="H308"/>
  <c r="M306"/>
  <c r="D305"/>
  <c r="I303"/>
  <c r="A302"/>
  <c r="E300"/>
  <c r="J298"/>
  <c r="B297"/>
  <c r="F295"/>
  <c r="K293"/>
  <c r="C292"/>
  <c r="G290"/>
  <c r="L288"/>
  <c r="D287"/>
  <c r="H285"/>
  <c r="M283"/>
  <c r="E282"/>
  <c r="I280"/>
  <c r="A279"/>
  <c r="F277"/>
  <c r="J275"/>
  <c r="B274"/>
  <c r="G272"/>
  <c r="K270"/>
  <c r="C269"/>
  <c r="H267"/>
  <c r="L265"/>
  <c r="D264"/>
  <c r="I262"/>
  <c r="M260"/>
  <c r="E259"/>
  <c r="J257"/>
  <c r="A256"/>
  <c r="F254"/>
  <c r="K252"/>
  <c r="B251"/>
  <c r="G249"/>
  <c r="L247"/>
  <c r="C246"/>
  <c r="H244"/>
  <c r="M242"/>
  <c r="D241"/>
  <c r="I239"/>
  <c r="A238"/>
  <c r="E236"/>
  <c r="J234"/>
  <c r="B233"/>
  <c r="F231"/>
  <c r="K229"/>
  <c r="C228"/>
  <c r="G226"/>
  <c r="L224"/>
  <c r="D223"/>
  <c r="H221"/>
  <c r="M219"/>
  <c r="E218"/>
  <c r="I217"/>
  <c r="A217"/>
  <c r="F216"/>
  <c r="K215"/>
  <c r="C215"/>
  <c r="H214"/>
  <c r="M213"/>
  <c r="E213"/>
  <c r="J212"/>
  <c r="B212"/>
  <c r="G211"/>
  <c r="L210"/>
  <c r="D210"/>
  <c r="I209"/>
  <c r="A209"/>
  <c r="F208"/>
  <c r="K207"/>
  <c r="C207"/>
  <c r="H206"/>
  <c r="M205"/>
  <c r="E205"/>
  <c r="J204"/>
  <c r="B204"/>
  <c r="G203"/>
  <c r="L202"/>
  <c r="D202"/>
  <c r="I201"/>
  <c r="A201"/>
  <c r="F200"/>
  <c r="K199"/>
  <c r="C199"/>
  <c r="H198"/>
  <c r="M197"/>
  <c r="E197"/>
  <c r="J196"/>
  <c r="B196"/>
  <c r="G195"/>
  <c r="L194"/>
  <c r="D194"/>
  <c r="I193"/>
  <c r="A193"/>
  <c r="F192"/>
  <c r="K191"/>
  <c r="C191"/>
  <c r="H190"/>
  <c r="M189"/>
  <c r="E189"/>
  <c r="J188"/>
  <c r="B188"/>
  <c r="G187"/>
  <c r="L186"/>
  <c r="D186"/>
  <c r="I185"/>
  <c r="A185"/>
  <c r="F184"/>
  <c r="K183"/>
  <c r="C183"/>
  <c r="H182"/>
  <c r="M181"/>
  <c r="E181"/>
  <c r="J180"/>
  <c r="B180"/>
  <c r="G179"/>
  <c r="L178"/>
  <c r="D178"/>
  <c r="I177"/>
  <c r="A177"/>
  <c r="F176"/>
  <c r="K175"/>
  <c r="C175"/>
  <c r="H174"/>
  <c r="M173"/>
  <c r="E173"/>
  <c r="J172"/>
  <c r="B172"/>
  <c r="G171"/>
  <c r="L170"/>
  <c r="D170"/>
  <c r="I169"/>
  <c r="A169"/>
  <c r="F168"/>
  <c r="K167"/>
  <c r="C167"/>
  <c r="H166"/>
  <c r="M165"/>
  <c r="E165"/>
  <c r="J164"/>
  <c r="B164"/>
  <c r="G163"/>
  <c r="L162"/>
  <c r="D162"/>
  <c r="I161"/>
  <c r="A161"/>
  <c r="F160"/>
  <c r="K159"/>
  <c r="C159"/>
  <c r="H158"/>
  <c r="M157"/>
  <c r="E157"/>
  <c r="J156"/>
  <c r="B156"/>
  <c r="G155"/>
  <c r="L154"/>
  <c r="D154"/>
  <c r="I153"/>
  <c r="A153"/>
  <c r="F152"/>
  <c r="K151"/>
  <c r="C151"/>
  <c r="H150"/>
  <c r="M149"/>
  <c r="E149"/>
  <c r="J148"/>
  <c r="B148"/>
  <c r="G147"/>
  <c r="L146"/>
  <c r="D146"/>
  <c r="I145"/>
  <c r="A145"/>
  <c r="F144"/>
  <c r="K143"/>
  <c r="C143"/>
  <c r="H142"/>
  <c r="M141"/>
  <c r="E141"/>
  <c r="J140"/>
  <c r="B140"/>
  <c r="G139"/>
  <c r="L138"/>
  <c r="D138"/>
  <c r="I137"/>
  <c r="A137"/>
  <c r="F136"/>
  <c r="K135"/>
  <c r="C135"/>
  <c r="H134"/>
  <c r="M133"/>
  <c r="E133"/>
  <c r="J132"/>
  <c r="B132"/>
  <c r="G131"/>
  <c r="L130"/>
  <c r="D130"/>
  <c r="I129"/>
  <c r="A129"/>
  <c r="F128"/>
  <c r="K127"/>
  <c r="C127"/>
  <c r="H126"/>
  <c r="M125"/>
  <c r="E125"/>
  <c r="J124"/>
  <c r="B124"/>
  <c r="G123"/>
  <c r="L122"/>
  <c r="D122"/>
  <c r="I121"/>
  <c r="A121"/>
  <c r="F120"/>
  <c r="K119"/>
  <c r="C119"/>
  <c r="H118"/>
  <c r="M117"/>
  <c r="E117"/>
  <c r="J116"/>
  <c r="B116"/>
  <c r="G115"/>
  <c r="M114"/>
  <c r="E114"/>
  <c r="K113"/>
  <c r="C113"/>
  <c r="I112"/>
  <c r="A112"/>
  <c r="G111"/>
  <c r="M110"/>
  <c r="E110"/>
  <c r="K109"/>
  <c r="C109"/>
  <c r="I108"/>
  <c r="A108"/>
  <c r="G107"/>
  <c r="M106"/>
  <c r="E106"/>
  <c r="K105"/>
  <c r="C105"/>
  <c r="I104"/>
  <c r="A104"/>
  <c r="G103"/>
  <c r="M102"/>
  <c r="E102"/>
  <c r="K101"/>
  <c r="C101"/>
  <c r="I100"/>
  <c r="A100"/>
  <c r="G99"/>
  <c r="M98"/>
  <c r="E98"/>
  <c r="K97"/>
  <c r="C97"/>
  <c r="I96"/>
  <c r="A96"/>
  <c r="G95"/>
  <c r="M94"/>
  <c r="E94"/>
  <c r="K93"/>
  <c r="C93"/>
  <c r="I92"/>
  <c r="A92"/>
  <c r="G91"/>
  <c r="M90"/>
  <c r="E90"/>
  <c r="K89"/>
  <c r="C89"/>
  <c r="I88"/>
  <c r="A88"/>
  <c r="G87"/>
  <c r="M86"/>
  <c r="E86"/>
  <c r="K85"/>
  <c r="C85"/>
  <c r="I84"/>
  <c r="A84"/>
  <c r="G83"/>
  <c r="M82"/>
  <c r="E82"/>
  <c r="K81"/>
  <c r="C81"/>
  <c r="I80"/>
  <c r="A80"/>
  <c r="G79"/>
  <c r="M78"/>
  <c r="E78"/>
  <c r="K77"/>
  <c r="C77"/>
  <c r="I76"/>
  <c r="A76"/>
  <c r="G75"/>
  <c r="M74"/>
  <c r="E74"/>
  <c r="K73"/>
  <c r="C73"/>
  <c r="I72"/>
  <c r="A72"/>
  <c r="G71"/>
  <c r="M70"/>
  <c r="E70"/>
  <c r="K69"/>
  <c r="C69"/>
  <c r="I68"/>
  <c r="A68"/>
  <c r="G67"/>
  <c r="M66"/>
  <c r="E66"/>
  <c r="K65"/>
  <c r="C65"/>
  <c r="I64"/>
  <c r="A64"/>
  <c r="G63"/>
  <c r="M62"/>
  <c r="E62"/>
  <c r="K61"/>
  <c r="C61"/>
  <c r="I60"/>
  <c r="A60"/>
  <c r="G59"/>
  <c r="M58"/>
  <c r="E58"/>
  <c r="K57"/>
  <c r="C57"/>
  <c r="I56"/>
  <c r="A56"/>
  <c r="G55"/>
  <c r="M54"/>
  <c r="E54"/>
  <c r="K53"/>
  <c r="C53"/>
  <c r="I52"/>
  <c r="A52"/>
  <c r="G51"/>
  <c r="M50"/>
  <c r="E50"/>
  <c r="K49"/>
  <c r="C49"/>
  <c r="I48"/>
  <c r="A48"/>
  <c r="G47"/>
  <c r="M46"/>
  <c r="E46"/>
  <c r="K45"/>
  <c r="C45"/>
  <c r="I44"/>
  <c r="A44"/>
  <c r="G43"/>
  <c r="M42"/>
  <c r="E42"/>
  <c r="K41"/>
  <c r="C41"/>
  <c r="I40"/>
  <c r="A40"/>
  <c r="G39"/>
  <c r="M38"/>
  <c r="E38"/>
  <c r="K37"/>
  <c r="C37"/>
  <c r="I36"/>
  <c r="A36"/>
  <c r="G35"/>
  <c r="M34"/>
  <c r="E34"/>
  <c r="K33"/>
  <c r="C33"/>
  <c r="I32"/>
  <c r="A32"/>
  <c r="G31"/>
  <c r="M30"/>
  <c r="E30"/>
  <c r="K29"/>
  <c r="C29"/>
  <c r="I28"/>
  <c r="A28"/>
  <c r="G27"/>
  <c r="M26"/>
  <c r="E26"/>
  <c r="K25"/>
  <c r="C25"/>
  <c r="I24"/>
  <c r="A24"/>
  <c r="G23"/>
  <c r="M22"/>
  <c r="E22"/>
  <c r="K21"/>
  <c r="C21"/>
  <c r="I20"/>
  <c r="A20"/>
  <c r="G19"/>
  <c r="M18"/>
  <c r="E18"/>
  <c r="K17"/>
  <c r="C17"/>
  <c r="I16"/>
  <c r="A16"/>
  <c r="G15"/>
  <c r="M14"/>
  <c r="E14"/>
  <c r="K13"/>
  <c r="C13"/>
  <c r="I12"/>
  <c r="A12"/>
  <c r="G11"/>
  <c r="M10"/>
  <c r="E10"/>
  <c r="K9"/>
  <c r="C9"/>
  <c r="I8"/>
  <c r="A8"/>
  <c r="G7"/>
  <c r="L6"/>
  <c r="L5"/>
  <c r="M619" i="1"/>
  <c r="B618"/>
  <c r="D616"/>
  <c r="A615"/>
  <c r="C613"/>
  <c r="M611"/>
  <c r="B610"/>
  <c r="D608"/>
  <c r="G607"/>
  <c r="D606"/>
  <c r="A605"/>
  <c r="C603"/>
  <c r="F602"/>
  <c r="A511" i="3"/>
  <c r="K288"/>
  <c r="L207"/>
  <c r="M178"/>
  <c r="D159"/>
  <c r="M141"/>
  <c r="F129"/>
  <c r="N116"/>
  <c r="G108"/>
  <c r="C106"/>
  <c r="M103"/>
  <c r="I101"/>
  <c r="E99"/>
  <c r="A97"/>
  <c r="J94"/>
  <c r="E92"/>
  <c r="A90"/>
  <c r="K87"/>
  <c r="G85"/>
  <c r="C83"/>
  <c r="M80"/>
  <c r="I78"/>
  <c r="E76"/>
  <c r="A74"/>
  <c r="K71"/>
  <c r="G69"/>
  <c r="C67"/>
  <c r="M64"/>
  <c r="I62"/>
  <c r="E60"/>
  <c r="A58"/>
  <c r="K55"/>
  <c r="G53"/>
  <c r="C51"/>
  <c r="M48"/>
  <c r="H46"/>
  <c r="D44"/>
  <c r="N41"/>
  <c r="J39"/>
  <c r="F37"/>
  <c r="B35"/>
  <c r="L32"/>
  <c r="H30"/>
  <c r="D28"/>
  <c r="N25"/>
  <c r="J23"/>
  <c r="F21"/>
  <c r="B19"/>
  <c r="L16"/>
  <c r="H14"/>
  <c r="D12"/>
  <c r="N9"/>
  <c r="J7"/>
  <c r="A488" i="2"/>
  <c r="D481"/>
  <c r="B475"/>
  <c r="M468"/>
  <c r="C462"/>
  <c r="A456"/>
  <c r="D449"/>
  <c r="B443"/>
  <c r="M436"/>
  <c r="C430"/>
  <c r="A424"/>
  <c r="D417"/>
  <c r="B411"/>
  <c r="M404"/>
  <c r="C398"/>
  <c r="A392"/>
  <c r="D385"/>
  <c r="B379"/>
  <c r="M372"/>
  <c r="C366"/>
  <c r="A360"/>
  <c r="D353"/>
  <c r="B347"/>
  <c r="M340"/>
  <c r="C334"/>
  <c r="A328"/>
  <c r="D321"/>
  <c r="M315"/>
  <c r="J313"/>
  <c r="A312"/>
  <c r="F310"/>
  <c r="K308"/>
  <c r="B307"/>
  <c r="G305"/>
  <c r="L303"/>
  <c r="C302"/>
  <c r="H300"/>
  <c r="M298"/>
  <c r="D297"/>
  <c r="I295"/>
  <c r="A294"/>
  <c r="E292"/>
  <c r="J290"/>
  <c r="B289"/>
  <c r="F287"/>
  <c r="K285"/>
  <c r="C284"/>
  <c r="G282"/>
  <c r="L280"/>
  <c r="D279"/>
  <c r="H277"/>
  <c r="M275"/>
  <c r="E274"/>
  <c r="I272"/>
  <c r="A271"/>
  <c r="F269"/>
  <c r="J267"/>
  <c r="B266"/>
  <c r="G264"/>
  <c r="K262"/>
  <c r="C261"/>
  <c r="H259"/>
  <c r="L257"/>
  <c r="D256"/>
  <c r="I254"/>
  <c r="M252"/>
  <c r="E251"/>
  <c r="J249"/>
  <c r="A248"/>
  <c r="F246"/>
  <c r="K244"/>
  <c r="B243"/>
  <c r="G241"/>
  <c r="L239"/>
  <c r="C238"/>
  <c r="H236"/>
  <c r="M234"/>
  <c r="D233"/>
  <c r="I231"/>
  <c r="A230"/>
  <c r="E228"/>
  <c r="J226"/>
  <c r="B225"/>
  <c r="F223"/>
  <c r="K221"/>
  <c r="C220"/>
  <c r="G218"/>
  <c r="J217"/>
  <c r="B217"/>
  <c r="G216"/>
  <c r="L215"/>
  <c r="D215"/>
  <c r="I214"/>
  <c r="A214"/>
  <c r="F213"/>
  <c r="K212"/>
  <c r="C212"/>
  <c r="H211"/>
  <c r="M210"/>
  <c r="E210"/>
  <c r="J209"/>
  <c r="B209"/>
  <c r="G208"/>
  <c r="L207"/>
  <c r="D207"/>
  <c r="I206"/>
  <c r="A206"/>
  <c r="F205"/>
  <c r="K204"/>
  <c r="C204"/>
  <c r="H203"/>
  <c r="M202"/>
  <c r="E202"/>
  <c r="J201"/>
  <c r="B201"/>
  <c r="G200"/>
  <c r="L199"/>
  <c r="D199"/>
  <c r="I198"/>
  <c r="A198"/>
  <c r="F197"/>
  <c r="K196"/>
  <c r="C196"/>
  <c r="H195"/>
  <c r="M194"/>
  <c r="E194"/>
  <c r="J193"/>
  <c r="B193"/>
  <c r="G192"/>
  <c r="L191"/>
  <c r="D191"/>
  <c r="I190"/>
  <c r="A190"/>
  <c r="F189"/>
  <c r="K188"/>
  <c r="C188"/>
  <c r="H187"/>
  <c r="M186"/>
  <c r="E186"/>
  <c r="J185"/>
  <c r="B185"/>
  <c r="G184"/>
  <c r="L183"/>
  <c r="D183"/>
  <c r="I182"/>
  <c r="A182"/>
  <c r="F181"/>
  <c r="K180"/>
  <c r="C180"/>
  <c r="H179"/>
  <c r="M178"/>
  <c r="E178"/>
  <c r="J177"/>
  <c r="B177"/>
  <c r="G176"/>
  <c r="L175"/>
  <c r="D175"/>
  <c r="I174"/>
  <c r="A174"/>
  <c r="F173"/>
  <c r="K172"/>
  <c r="C172"/>
  <c r="H171"/>
  <c r="M170"/>
  <c r="E170"/>
  <c r="J169"/>
  <c r="B169"/>
  <c r="G168"/>
  <c r="L167"/>
  <c r="D167"/>
  <c r="I166"/>
  <c r="A166"/>
  <c r="F165"/>
  <c r="K164"/>
  <c r="C164"/>
  <c r="H163"/>
  <c r="M162"/>
  <c r="E162"/>
  <c r="J161"/>
  <c r="B161"/>
  <c r="G160"/>
  <c r="L159"/>
  <c r="D159"/>
  <c r="I158"/>
  <c r="A158"/>
  <c r="F157"/>
  <c r="K156"/>
  <c r="C156"/>
  <c r="H155"/>
  <c r="M154"/>
  <c r="E154"/>
  <c r="J153"/>
  <c r="B153"/>
  <c r="G152"/>
  <c r="L151"/>
  <c r="D151"/>
  <c r="I150"/>
  <c r="A150"/>
  <c r="F149"/>
  <c r="K148"/>
  <c r="C148"/>
  <c r="H147"/>
  <c r="M146"/>
  <c r="E146"/>
  <c r="J145"/>
  <c r="B145"/>
  <c r="G144"/>
  <c r="L143"/>
  <c r="D143"/>
  <c r="I142"/>
  <c r="A142"/>
  <c r="F141"/>
  <c r="K140"/>
  <c r="C140"/>
  <c r="H139"/>
  <c r="M138"/>
  <c r="E138"/>
  <c r="J137"/>
  <c r="B137"/>
  <c r="G136"/>
  <c r="L135"/>
  <c r="D135"/>
  <c r="I134"/>
  <c r="A134"/>
  <c r="F133"/>
  <c r="K132"/>
  <c r="C132"/>
  <c r="H131"/>
  <c r="M130"/>
  <c r="E130"/>
  <c r="J129"/>
  <c r="B129"/>
  <c r="G128"/>
  <c r="L127"/>
  <c r="D127"/>
  <c r="I126"/>
  <c r="A126"/>
  <c r="F125"/>
  <c r="K124"/>
  <c r="C124"/>
  <c r="H123"/>
  <c r="M122"/>
  <c r="E122"/>
  <c r="J121"/>
  <c r="B121"/>
  <c r="G120"/>
  <c r="L119"/>
  <c r="D119"/>
  <c r="I118"/>
  <c r="A118"/>
  <c r="F117"/>
  <c r="K116"/>
  <c r="C116"/>
  <c r="H115"/>
  <c r="N114"/>
  <c r="F114"/>
  <c r="L113"/>
  <c r="D113"/>
  <c r="J112"/>
  <c r="B112"/>
  <c r="H111"/>
  <c r="N110"/>
  <c r="F110"/>
  <c r="L109"/>
  <c r="D109"/>
  <c r="J108"/>
  <c r="B108"/>
  <c r="H107"/>
  <c r="N106"/>
  <c r="F106"/>
  <c r="L105"/>
  <c r="D105"/>
  <c r="J104"/>
  <c r="B104"/>
  <c r="H103"/>
  <c r="N102"/>
  <c r="F102"/>
  <c r="L101"/>
  <c r="D101"/>
  <c r="J100"/>
  <c r="B100"/>
  <c r="H99"/>
  <c r="N98"/>
  <c r="F98"/>
  <c r="L97"/>
  <c r="D97"/>
  <c r="J96"/>
  <c r="B96"/>
  <c r="H95"/>
  <c r="N94"/>
  <c r="F94"/>
  <c r="L93"/>
  <c r="D93"/>
  <c r="J92"/>
  <c r="B92"/>
  <c r="H91"/>
  <c r="N90"/>
  <c r="F90"/>
  <c r="L89"/>
  <c r="D89"/>
  <c r="J88"/>
  <c r="B88"/>
  <c r="H87"/>
  <c r="N86"/>
  <c r="F86"/>
  <c r="L85"/>
  <c r="D85"/>
  <c r="J84"/>
  <c r="B84"/>
  <c r="H83"/>
  <c r="N82"/>
  <c r="F82"/>
  <c r="L81"/>
  <c r="D81"/>
  <c r="J80"/>
  <c r="B80"/>
  <c r="H79"/>
  <c r="N78"/>
  <c r="F78"/>
  <c r="L77"/>
  <c r="D77"/>
  <c r="J76"/>
  <c r="B76"/>
  <c r="H75"/>
  <c r="N74"/>
  <c r="F74"/>
  <c r="L73"/>
  <c r="D73"/>
  <c r="J72"/>
  <c r="B72"/>
  <c r="H71"/>
  <c r="N70"/>
  <c r="F70"/>
  <c r="L69"/>
  <c r="D69"/>
  <c r="J68"/>
  <c r="B68"/>
  <c r="H67"/>
  <c r="N66"/>
  <c r="F66"/>
  <c r="L65"/>
  <c r="D65"/>
  <c r="J64"/>
  <c r="B64"/>
  <c r="H63"/>
  <c r="N62"/>
  <c r="F62"/>
  <c r="L61"/>
  <c r="D61"/>
  <c r="J60"/>
  <c r="B60"/>
  <c r="H59"/>
  <c r="N58"/>
  <c r="F58"/>
  <c r="L57"/>
  <c r="D57"/>
  <c r="J56"/>
  <c r="B56"/>
  <c r="H55"/>
  <c r="N54"/>
  <c r="F54"/>
  <c r="L53"/>
  <c r="D53"/>
  <c r="J52"/>
  <c r="B52"/>
  <c r="H51"/>
  <c r="N50"/>
  <c r="F50"/>
  <c r="L49"/>
  <c r="D49"/>
  <c r="J48"/>
  <c r="B48"/>
  <c r="H47"/>
  <c r="N46"/>
  <c r="F46"/>
  <c r="L45"/>
  <c r="D45"/>
  <c r="J44"/>
  <c r="B44"/>
  <c r="H43"/>
  <c r="N42"/>
  <c r="F42"/>
  <c r="L41"/>
  <c r="D41"/>
  <c r="J40"/>
  <c r="B40"/>
  <c r="H39"/>
  <c r="N38"/>
  <c r="F38"/>
  <c r="L37"/>
  <c r="D37"/>
  <c r="J36"/>
  <c r="B36"/>
  <c r="H35"/>
  <c r="N34"/>
  <c r="F34"/>
  <c r="L33"/>
  <c r="D33"/>
  <c r="J32"/>
  <c r="B32"/>
  <c r="H31"/>
  <c r="N30"/>
  <c r="F30"/>
  <c r="L29"/>
  <c r="D29"/>
  <c r="J28"/>
  <c r="B28"/>
  <c r="H27"/>
  <c r="N26"/>
  <c r="F26"/>
  <c r="L25"/>
  <c r="D25"/>
  <c r="J24"/>
  <c r="B24"/>
  <c r="H23"/>
  <c r="N22"/>
  <c r="F22"/>
  <c r="L21"/>
  <c r="D21"/>
  <c r="J20"/>
  <c r="B20"/>
  <c r="H19"/>
  <c r="N18"/>
  <c r="F18"/>
  <c r="L17"/>
  <c r="D17"/>
  <c r="J16"/>
  <c r="B16"/>
  <c r="H15"/>
  <c r="N14"/>
  <c r="F14"/>
  <c r="L13"/>
  <c r="D13"/>
  <c r="J12"/>
  <c r="B12"/>
  <c r="H11"/>
  <c r="N10"/>
  <c r="F10"/>
  <c r="L9"/>
  <c r="D9"/>
  <c r="J8"/>
  <c r="B8"/>
  <c r="H7"/>
  <c r="M6"/>
  <c r="E6"/>
  <c r="M620" i="1"/>
  <c r="C618"/>
  <c r="M616"/>
  <c r="B615"/>
  <c r="D613"/>
  <c r="A612"/>
  <c r="C610"/>
  <c r="M608"/>
  <c r="H607"/>
  <c r="M606"/>
  <c r="B605"/>
  <c r="D603"/>
  <c r="G602"/>
  <c r="D601"/>
  <c r="B562" i="3"/>
  <c r="H308"/>
  <c r="K212"/>
  <c r="F181"/>
  <c r="J161"/>
  <c r="J143"/>
  <c r="J130"/>
  <c r="I118"/>
  <c r="J108"/>
  <c r="F106"/>
  <c r="B104"/>
  <c r="L101"/>
  <c r="H99"/>
  <c r="D97"/>
  <c r="M94"/>
  <c r="H92"/>
  <c r="D90"/>
  <c r="N87"/>
  <c r="J85"/>
  <c r="F83"/>
  <c r="B81"/>
  <c r="L78"/>
  <c r="H76"/>
  <c r="D74"/>
  <c r="N71"/>
  <c r="J69"/>
  <c r="F67"/>
  <c r="B65"/>
  <c r="L62"/>
  <c r="H60"/>
  <c r="D58"/>
  <c r="N55"/>
  <c r="J53"/>
  <c r="F51"/>
  <c r="B49"/>
  <c r="K46"/>
  <c r="G44"/>
  <c r="C42"/>
  <c r="M39"/>
  <c r="I37"/>
  <c r="E35"/>
  <c r="A33"/>
  <c r="K30"/>
  <c r="G28"/>
  <c r="C26"/>
  <c r="M23"/>
  <c r="I21"/>
  <c r="E19"/>
  <c r="A17"/>
  <c r="K14"/>
  <c r="G12"/>
  <c r="C10"/>
  <c r="M7"/>
  <c r="D488" i="2"/>
  <c r="B482"/>
  <c r="M475"/>
  <c r="C469"/>
  <c r="A463"/>
  <c r="D456"/>
  <c r="B450"/>
  <c r="M443"/>
  <c r="C437"/>
  <c r="A431"/>
  <c r="D424"/>
  <c r="B418"/>
  <c r="M411"/>
  <c r="C405"/>
  <c r="A399"/>
  <c r="D392"/>
  <c r="B386"/>
  <c r="M379"/>
  <c r="C373"/>
  <c r="A367"/>
  <c r="D360"/>
  <c r="B354"/>
  <c r="M347"/>
  <c r="C341"/>
  <c r="A335"/>
  <c r="D328"/>
  <c r="B322"/>
  <c r="C316"/>
  <c r="L313"/>
  <c r="D312"/>
  <c r="I310"/>
  <c r="M308"/>
  <c r="E307"/>
  <c r="J305"/>
  <c r="A304"/>
  <c r="F302"/>
  <c r="K300"/>
  <c r="B299"/>
  <c r="G297"/>
  <c r="L295"/>
  <c r="C294"/>
  <c r="H292"/>
  <c r="M290"/>
  <c r="D289"/>
  <c r="I287"/>
  <c r="A286"/>
  <c r="E284"/>
  <c r="J282"/>
  <c r="B281"/>
  <c r="F279"/>
  <c r="K277"/>
  <c r="C276"/>
  <c r="G274"/>
  <c r="L272"/>
  <c r="D271"/>
  <c r="H269"/>
  <c r="M267"/>
  <c r="E266"/>
  <c r="I264"/>
  <c r="A263"/>
  <c r="F261"/>
  <c r="J259"/>
  <c r="B258"/>
  <c r="G256"/>
  <c r="K254"/>
  <c r="C253"/>
  <c r="H251"/>
  <c r="L249"/>
  <c r="D248"/>
  <c r="I246"/>
  <c r="M244"/>
  <c r="E243"/>
  <c r="J241"/>
  <c r="A240"/>
  <c r="F238"/>
  <c r="K236"/>
  <c r="B235"/>
  <c r="G233"/>
  <c r="L231"/>
  <c r="C230"/>
  <c r="H228"/>
  <c r="M226"/>
  <c r="D225"/>
  <c r="I223"/>
  <c r="A222"/>
  <c r="E220"/>
  <c r="J218"/>
  <c r="K217"/>
  <c r="C217"/>
  <c r="H216"/>
  <c r="M215"/>
  <c r="E215"/>
  <c r="J214"/>
  <c r="B214"/>
  <c r="G213"/>
  <c r="L212"/>
  <c r="D212"/>
  <c r="I211"/>
  <c r="A211"/>
  <c r="F210"/>
  <c r="K209"/>
  <c r="C209"/>
  <c r="H208"/>
  <c r="M207"/>
  <c r="E207"/>
  <c r="J206"/>
  <c r="B206"/>
  <c r="G205"/>
  <c r="L204"/>
  <c r="D204"/>
  <c r="I203"/>
  <c r="A203"/>
  <c r="F202"/>
  <c r="K201"/>
  <c r="C201"/>
  <c r="H200"/>
  <c r="M199"/>
  <c r="E199"/>
  <c r="J198"/>
  <c r="B198"/>
  <c r="G197"/>
  <c r="L196"/>
  <c r="D196"/>
  <c r="I195"/>
  <c r="A195"/>
  <c r="F194"/>
  <c r="K193"/>
  <c r="C193"/>
  <c r="H192"/>
  <c r="M191"/>
  <c r="E191"/>
  <c r="J190"/>
  <c r="B190"/>
  <c r="G189"/>
  <c r="L188"/>
  <c r="D188"/>
  <c r="I187"/>
  <c r="A187"/>
  <c r="F186"/>
  <c r="K185"/>
  <c r="C185"/>
  <c r="H184"/>
  <c r="M183"/>
  <c r="E183"/>
  <c r="J182"/>
  <c r="B182"/>
  <c r="G181"/>
  <c r="L180"/>
  <c r="D180"/>
  <c r="I179"/>
  <c r="A179"/>
  <c r="F178"/>
  <c r="K177"/>
  <c r="C177"/>
  <c r="H176"/>
  <c r="M175"/>
  <c r="E175"/>
  <c r="J174"/>
  <c r="B174"/>
  <c r="G173"/>
  <c r="L172"/>
  <c r="D172"/>
  <c r="I171"/>
  <c r="A171"/>
  <c r="F170"/>
  <c r="K169"/>
  <c r="C169"/>
  <c r="H168"/>
  <c r="M167"/>
  <c r="E167"/>
  <c r="J166"/>
  <c r="B166"/>
  <c r="G165"/>
  <c r="L164"/>
  <c r="D164"/>
  <c r="I163"/>
  <c r="A163"/>
  <c r="F162"/>
  <c r="K161"/>
  <c r="C161"/>
  <c r="H160"/>
  <c r="M159"/>
  <c r="E159"/>
  <c r="J158"/>
  <c r="B158"/>
  <c r="G157"/>
  <c r="L156"/>
  <c r="D156"/>
  <c r="I155"/>
  <c r="A155"/>
  <c r="F154"/>
  <c r="K153"/>
  <c r="C153"/>
  <c r="H152"/>
  <c r="M151"/>
  <c r="E151"/>
  <c r="J150"/>
  <c r="B150"/>
  <c r="G149"/>
  <c r="L148"/>
  <c r="D148"/>
  <c r="I147"/>
  <c r="A147"/>
  <c r="F146"/>
  <c r="K145"/>
  <c r="C145"/>
  <c r="H144"/>
  <c r="M143"/>
  <c r="E143"/>
  <c r="J142"/>
  <c r="B142"/>
  <c r="G141"/>
  <c r="L140"/>
  <c r="D140"/>
  <c r="I139"/>
  <c r="A139"/>
  <c r="F138"/>
  <c r="K137"/>
  <c r="C137"/>
  <c r="H136"/>
  <c r="M135"/>
  <c r="E135"/>
  <c r="J134"/>
  <c r="B134"/>
  <c r="G133"/>
  <c r="L132"/>
  <c r="D132"/>
  <c r="I131"/>
  <c r="A131"/>
  <c r="F130"/>
  <c r="K129"/>
  <c r="C129"/>
  <c r="H128"/>
  <c r="M127"/>
  <c r="E127"/>
  <c r="J126"/>
  <c r="B126"/>
  <c r="G125"/>
  <c r="L124"/>
  <c r="D124"/>
  <c r="I123"/>
  <c r="A123"/>
  <c r="F122"/>
  <c r="K121"/>
  <c r="C121"/>
  <c r="H120"/>
  <c r="M119"/>
  <c r="E119"/>
  <c r="J118"/>
  <c r="B118"/>
  <c r="G117"/>
  <c r="L116"/>
  <c r="D116"/>
  <c r="I115"/>
  <c r="A115"/>
  <c r="G114"/>
  <c r="M113"/>
  <c r="E113"/>
  <c r="K112"/>
  <c r="C112"/>
  <c r="I111"/>
  <c r="A111"/>
  <c r="G110"/>
  <c r="M109"/>
  <c r="E109"/>
  <c r="K108"/>
  <c r="C108"/>
  <c r="I107"/>
  <c r="A107"/>
  <c r="G106"/>
  <c r="M105"/>
  <c r="E105"/>
  <c r="K104"/>
  <c r="C104"/>
  <c r="I103"/>
  <c r="A103"/>
  <c r="G102"/>
  <c r="M101"/>
  <c r="E101"/>
  <c r="K100"/>
  <c r="C100"/>
  <c r="I99"/>
  <c r="A99"/>
  <c r="G98"/>
  <c r="M97"/>
  <c r="E97"/>
  <c r="K96"/>
  <c r="C96"/>
  <c r="I95"/>
  <c r="A95"/>
  <c r="G94"/>
  <c r="M93"/>
  <c r="E93"/>
  <c r="K92"/>
  <c r="C92"/>
  <c r="I91"/>
  <c r="A91"/>
  <c r="G90"/>
  <c r="M89"/>
  <c r="E89"/>
  <c r="K88"/>
  <c r="C88"/>
  <c r="I87"/>
  <c r="A87"/>
  <c r="G86"/>
  <c r="M85"/>
  <c r="E85"/>
  <c r="K84"/>
  <c r="C84"/>
  <c r="I83"/>
  <c r="A83"/>
  <c r="G82"/>
  <c r="M81"/>
  <c r="E81"/>
  <c r="K80"/>
  <c r="C80"/>
  <c r="I79"/>
  <c r="A79"/>
  <c r="G78"/>
  <c r="M77"/>
  <c r="E77"/>
  <c r="K76"/>
  <c r="C76"/>
  <c r="I75"/>
  <c r="A75"/>
  <c r="G74"/>
  <c r="M73"/>
  <c r="E73"/>
  <c r="K72"/>
  <c r="C72"/>
  <c r="I71"/>
  <c r="A71"/>
  <c r="G70"/>
  <c r="M69"/>
  <c r="E69"/>
  <c r="K68"/>
  <c r="C68"/>
  <c r="I67"/>
  <c r="A67"/>
  <c r="G66"/>
  <c r="M65"/>
  <c r="E65"/>
  <c r="K64"/>
  <c r="C64"/>
  <c r="I63"/>
  <c r="A63"/>
  <c r="G62"/>
  <c r="M61"/>
  <c r="E61"/>
  <c r="K60"/>
  <c r="C60"/>
  <c r="I59"/>
  <c r="A59"/>
  <c r="G58"/>
  <c r="M57"/>
  <c r="E57"/>
  <c r="K56"/>
  <c r="C56"/>
  <c r="I55"/>
  <c r="A55"/>
  <c r="G54"/>
  <c r="M53"/>
  <c r="E53"/>
  <c r="K52"/>
  <c r="C52"/>
  <c r="I51"/>
  <c r="A51"/>
  <c r="G50"/>
  <c r="M49"/>
  <c r="E49"/>
  <c r="K48"/>
  <c r="C48"/>
  <c r="I47"/>
  <c r="A47"/>
  <c r="G46"/>
  <c r="M45"/>
  <c r="E45"/>
  <c r="K44"/>
  <c r="C44"/>
  <c r="I43"/>
  <c r="A43"/>
  <c r="G42"/>
  <c r="M41"/>
  <c r="E41"/>
  <c r="K40"/>
  <c r="C40"/>
  <c r="I39"/>
  <c r="A39"/>
  <c r="G38"/>
  <c r="M37"/>
  <c r="E37"/>
  <c r="K36"/>
  <c r="C36"/>
  <c r="I35"/>
  <c r="A35"/>
  <c r="G34"/>
  <c r="M33"/>
  <c r="E33"/>
  <c r="K32"/>
  <c r="C32"/>
  <c r="I31"/>
  <c r="A31"/>
  <c r="G30"/>
  <c r="M29"/>
  <c r="E29"/>
  <c r="K28"/>
  <c r="C28"/>
  <c r="I27"/>
  <c r="A27"/>
  <c r="G26"/>
  <c r="M25"/>
  <c r="E25"/>
  <c r="K24"/>
  <c r="C24"/>
  <c r="I23"/>
  <c r="A23"/>
  <c r="G22"/>
  <c r="M21"/>
  <c r="E21"/>
  <c r="K20"/>
  <c r="C20"/>
  <c r="I19"/>
  <c r="A19"/>
  <c r="G18"/>
  <c r="M17"/>
  <c r="E17"/>
  <c r="K16"/>
  <c r="C16"/>
  <c r="I15"/>
  <c r="A15"/>
  <c r="G14"/>
  <c r="M13"/>
  <c r="E13"/>
  <c r="K12"/>
  <c r="C12"/>
  <c r="I11"/>
  <c r="A11"/>
  <c r="G10"/>
  <c r="M9"/>
  <c r="E9"/>
  <c r="K8"/>
  <c r="C8"/>
  <c r="I7"/>
  <c r="A7"/>
  <c r="F6"/>
  <c r="M621" i="1"/>
  <c r="D618"/>
  <c r="A617"/>
  <c r="C615"/>
  <c r="M613"/>
  <c r="B612"/>
  <c r="D610"/>
  <c r="A609"/>
  <c r="K607"/>
  <c r="A607"/>
  <c r="C605"/>
  <c r="M603"/>
  <c r="H602"/>
  <c r="M601"/>
  <c r="A7" i="4"/>
  <c r="D328" i="3"/>
  <c r="J217"/>
  <c r="L183"/>
  <c r="C164"/>
  <c r="B145"/>
  <c r="E132"/>
  <c r="D120"/>
  <c r="A109"/>
  <c r="K106"/>
  <c r="G104"/>
  <c r="C102"/>
  <c r="M99"/>
  <c r="I97"/>
  <c r="D95"/>
  <c r="M92"/>
  <c r="I90"/>
  <c r="E88"/>
  <c r="A86"/>
  <c r="K83"/>
  <c r="G81"/>
  <c r="C79"/>
  <c r="M76"/>
  <c r="I74"/>
  <c r="E72"/>
  <c r="A70"/>
  <c r="K67"/>
  <c r="G65"/>
  <c r="C63"/>
  <c r="M60"/>
  <c r="I58"/>
  <c r="E56"/>
  <c r="A54"/>
  <c r="K51"/>
  <c r="G49"/>
  <c r="B47"/>
  <c r="L44"/>
  <c r="H42"/>
  <c r="D40"/>
  <c r="N37"/>
  <c r="J35"/>
  <c r="F33"/>
  <c r="B31"/>
  <c r="L28"/>
  <c r="H26"/>
  <c r="D24"/>
  <c r="N21"/>
  <c r="J19"/>
  <c r="F17"/>
  <c r="B15"/>
  <c r="L12"/>
  <c r="H10"/>
  <c r="D8"/>
  <c r="M492" i="2"/>
  <c r="B483"/>
  <c r="M476"/>
  <c r="C470"/>
  <c r="A464"/>
  <c r="D457"/>
  <c r="B451"/>
  <c r="M444"/>
  <c r="C438"/>
  <c r="A432"/>
  <c r="D425"/>
  <c r="B419"/>
  <c r="M412"/>
  <c r="C406"/>
  <c r="A400"/>
  <c r="D393"/>
  <c r="B387"/>
  <c r="M380"/>
  <c r="C374"/>
  <c r="A368"/>
  <c r="D361"/>
  <c r="B355"/>
  <c r="M348"/>
  <c r="C342"/>
  <c r="A336"/>
  <c r="D329"/>
  <c r="B323"/>
  <c r="M316"/>
  <c r="B314"/>
  <c r="G312"/>
  <c r="K310"/>
  <c r="C309"/>
  <c r="H307"/>
  <c r="L305"/>
  <c r="D304"/>
  <c r="I302"/>
  <c r="M300"/>
  <c r="E299"/>
  <c r="J297"/>
  <c r="A296"/>
  <c r="F294"/>
  <c r="K292"/>
  <c r="B291"/>
  <c r="G289"/>
  <c r="L287"/>
  <c r="C286"/>
  <c r="H284"/>
  <c r="M282"/>
  <c r="D281"/>
  <c r="I279"/>
  <c r="A278"/>
  <c r="E276"/>
  <c r="J274"/>
  <c r="B273"/>
  <c r="F271"/>
  <c r="K269"/>
  <c r="C268"/>
  <c r="G266"/>
  <c r="L264"/>
  <c r="D263"/>
  <c r="H261"/>
  <c r="M259"/>
  <c r="E258"/>
  <c r="I256"/>
  <c r="A255"/>
  <c r="F253"/>
  <c r="J251"/>
  <c r="B250"/>
  <c r="G248"/>
  <c r="K246"/>
  <c r="C245"/>
  <c r="H243"/>
  <c r="L241"/>
  <c r="D240"/>
  <c r="I238"/>
  <c r="M236"/>
  <c r="E235"/>
  <c r="J233"/>
  <c r="A232"/>
  <c r="F230"/>
  <c r="K228"/>
  <c r="B227"/>
  <c r="G225"/>
  <c r="L223"/>
  <c r="C222"/>
  <c r="H220"/>
  <c r="M218"/>
  <c r="L217"/>
  <c r="D217"/>
  <c r="I216"/>
  <c r="A216"/>
  <c r="F215"/>
  <c r="K214"/>
  <c r="C214"/>
  <c r="H213"/>
  <c r="M212"/>
  <c r="E212"/>
  <c r="J211"/>
  <c r="B211"/>
  <c r="G210"/>
  <c r="L209"/>
  <c r="D209"/>
  <c r="I208"/>
  <c r="A208"/>
  <c r="F207"/>
  <c r="K206"/>
  <c r="C206"/>
  <c r="H205"/>
  <c r="M204"/>
  <c r="E204"/>
  <c r="J203"/>
  <c r="B203"/>
  <c r="G202"/>
  <c r="L201"/>
  <c r="D201"/>
  <c r="I200"/>
  <c r="A200"/>
  <c r="F199"/>
  <c r="K198"/>
  <c r="C198"/>
  <c r="H197"/>
  <c r="M196"/>
  <c r="E196"/>
  <c r="J195"/>
  <c r="B195"/>
  <c r="G194"/>
  <c r="L193"/>
  <c r="D193"/>
  <c r="I192"/>
  <c r="A192"/>
  <c r="F191"/>
  <c r="K190"/>
  <c r="C190"/>
  <c r="H189"/>
  <c r="M188"/>
  <c r="E188"/>
  <c r="J187"/>
  <c r="B187"/>
  <c r="G186"/>
  <c r="L185"/>
  <c r="D185"/>
  <c r="I184"/>
  <c r="A184"/>
  <c r="F183"/>
  <c r="K182"/>
  <c r="C182"/>
  <c r="H181"/>
  <c r="M180"/>
  <c r="E180"/>
  <c r="J179"/>
  <c r="B179"/>
  <c r="G178"/>
  <c r="L177"/>
  <c r="D177"/>
  <c r="I176"/>
  <c r="A176"/>
  <c r="F175"/>
  <c r="K174"/>
  <c r="C174"/>
  <c r="H173"/>
  <c r="M172"/>
  <c r="E172"/>
  <c r="J171"/>
  <c r="B171"/>
  <c r="G170"/>
  <c r="L169"/>
  <c r="D169"/>
  <c r="I168"/>
  <c r="A168"/>
  <c r="F167"/>
  <c r="K166"/>
  <c r="C166"/>
  <c r="H165"/>
  <c r="M164"/>
  <c r="E164"/>
  <c r="J163"/>
  <c r="B163"/>
  <c r="G162"/>
  <c r="L161"/>
  <c r="D161"/>
  <c r="I160"/>
  <c r="A160"/>
  <c r="F159"/>
  <c r="K158"/>
  <c r="C158"/>
  <c r="H157"/>
  <c r="M156"/>
  <c r="E156"/>
  <c r="J155"/>
  <c r="B155"/>
  <c r="G154"/>
  <c r="L153"/>
  <c r="D153"/>
  <c r="I152"/>
  <c r="A152"/>
  <c r="F151"/>
  <c r="K150"/>
  <c r="C150"/>
  <c r="H149"/>
  <c r="M148"/>
  <c r="E148"/>
  <c r="J147"/>
  <c r="B147"/>
  <c r="G146"/>
  <c r="L145"/>
  <c r="D145"/>
  <c r="I144"/>
  <c r="A144"/>
  <c r="F143"/>
  <c r="K142"/>
  <c r="C142"/>
  <c r="H141"/>
  <c r="M140"/>
  <c r="E140"/>
  <c r="J139"/>
  <c r="B139"/>
  <c r="G138"/>
  <c r="L137"/>
  <c r="D137"/>
  <c r="I136"/>
  <c r="A136"/>
  <c r="F135"/>
  <c r="K134"/>
  <c r="C134"/>
  <c r="H133"/>
  <c r="M132"/>
  <c r="E132"/>
  <c r="J131"/>
  <c r="B131"/>
  <c r="G130"/>
  <c r="L129"/>
  <c r="D129"/>
  <c r="I128"/>
  <c r="A128"/>
  <c r="F127"/>
  <c r="K126"/>
  <c r="C126"/>
  <c r="H125"/>
  <c r="M124"/>
  <c r="E124"/>
  <c r="J123"/>
  <c r="B123"/>
  <c r="G122"/>
  <c r="L121"/>
  <c r="D121"/>
  <c r="I120"/>
  <c r="A120"/>
  <c r="F119"/>
  <c r="K118"/>
  <c r="C118"/>
  <c r="H117"/>
  <c r="M116"/>
  <c r="E116"/>
  <c r="J115"/>
  <c r="B115"/>
  <c r="H114"/>
  <c r="N113"/>
  <c r="F113"/>
  <c r="L112"/>
  <c r="D112"/>
  <c r="J111"/>
  <c r="B111"/>
  <c r="H110"/>
  <c r="N109"/>
  <c r="F109"/>
  <c r="L108"/>
  <c r="D108"/>
  <c r="J107"/>
  <c r="B107"/>
  <c r="H106"/>
  <c r="N105"/>
  <c r="F105"/>
  <c r="L104"/>
  <c r="D104"/>
  <c r="J103"/>
  <c r="B103"/>
  <c r="H102"/>
  <c r="N101"/>
  <c r="F101"/>
  <c r="L100"/>
  <c r="D100"/>
  <c r="J99"/>
  <c r="B99"/>
  <c r="H98"/>
  <c r="N97"/>
  <c r="F97"/>
  <c r="L96"/>
  <c r="D96"/>
  <c r="J95"/>
  <c r="B95"/>
  <c r="H94"/>
  <c r="N93"/>
  <c r="F93"/>
  <c r="L92"/>
  <c r="D92"/>
  <c r="J91"/>
  <c r="B91"/>
  <c r="H90"/>
  <c r="N89"/>
  <c r="F89"/>
  <c r="L88"/>
  <c r="D88"/>
  <c r="J87"/>
  <c r="B87"/>
  <c r="H86"/>
  <c r="N85"/>
  <c r="F85"/>
  <c r="L84"/>
  <c r="D84"/>
  <c r="J83"/>
  <c r="B83"/>
  <c r="H82"/>
  <c r="N81"/>
  <c r="F81"/>
  <c r="L80"/>
  <c r="D80"/>
  <c r="J79"/>
  <c r="B79"/>
  <c r="H78"/>
  <c r="N77"/>
  <c r="F77"/>
  <c r="L76"/>
  <c r="D76"/>
  <c r="J75"/>
  <c r="B75"/>
  <c r="H74"/>
  <c r="N73"/>
  <c r="F73"/>
  <c r="L72"/>
  <c r="D72"/>
  <c r="J71"/>
  <c r="B71"/>
  <c r="H70"/>
  <c r="N69"/>
  <c r="F69"/>
  <c r="L68"/>
  <c r="D68"/>
  <c r="J67"/>
  <c r="B67"/>
  <c r="H66"/>
  <c r="N65"/>
  <c r="F65"/>
  <c r="L64"/>
  <c r="D64"/>
  <c r="J63"/>
  <c r="B63"/>
  <c r="H62"/>
  <c r="N61"/>
  <c r="F61"/>
  <c r="L60"/>
  <c r="D60"/>
  <c r="J59"/>
  <c r="B59"/>
  <c r="H58"/>
  <c r="N57"/>
  <c r="F57"/>
  <c r="L56"/>
  <c r="D56"/>
  <c r="J55"/>
  <c r="B55"/>
  <c r="H54"/>
  <c r="N53"/>
  <c r="F53"/>
  <c r="L52"/>
  <c r="D52"/>
  <c r="J51"/>
  <c r="B51"/>
  <c r="H50"/>
  <c r="N49"/>
  <c r="F49"/>
  <c r="L48"/>
  <c r="D48"/>
  <c r="J47"/>
  <c r="B47"/>
  <c r="H46"/>
  <c r="N45"/>
  <c r="F45"/>
  <c r="L44"/>
  <c r="D44"/>
  <c r="J43"/>
  <c r="B43"/>
  <c r="H42"/>
  <c r="N41"/>
  <c r="F41"/>
  <c r="L40"/>
  <c r="D40"/>
  <c r="J39"/>
  <c r="B39"/>
  <c r="H38"/>
  <c r="N37"/>
  <c r="F37"/>
  <c r="L36"/>
  <c r="D36"/>
  <c r="J35"/>
  <c r="B35"/>
  <c r="H34"/>
  <c r="N33"/>
  <c r="F33"/>
  <c r="L32"/>
  <c r="D32"/>
  <c r="J31"/>
  <c r="B31"/>
  <c r="H30"/>
  <c r="N29"/>
  <c r="F29"/>
  <c r="L28"/>
  <c r="D28"/>
  <c r="J27"/>
  <c r="B27"/>
  <c r="H26"/>
  <c r="N25"/>
  <c r="F25"/>
  <c r="L24"/>
  <c r="D24"/>
  <c r="J23"/>
  <c r="B23"/>
  <c r="H22"/>
  <c r="N21"/>
  <c r="F21"/>
  <c r="L20"/>
  <c r="D20"/>
  <c r="J19"/>
  <c r="B19"/>
  <c r="H18"/>
  <c r="N17"/>
  <c r="F17"/>
  <c r="L16"/>
  <c r="D16"/>
  <c r="J15"/>
  <c r="B15"/>
  <c r="H14"/>
  <c r="N13"/>
  <c r="F13"/>
  <c r="L12"/>
  <c r="D12"/>
  <c r="J11"/>
  <c r="B11"/>
  <c r="H10"/>
  <c r="N9"/>
  <c r="F9"/>
  <c r="L8"/>
  <c r="D8"/>
  <c r="J7"/>
  <c r="B7"/>
  <c r="G6"/>
  <c r="M622" i="1"/>
  <c r="M618"/>
  <c r="B617"/>
  <c r="D615"/>
  <c r="A614"/>
  <c r="C612"/>
  <c r="M610"/>
  <c r="B609"/>
  <c r="L607"/>
  <c r="B607"/>
  <c r="D605"/>
  <c r="A604"/>
  <c r="K602"/>
  <c r="A602"/>
  <c r="H121" i="3"/>
  <c r="C93"/>
  <c r="L74"/>
  <c r="H56"/>
  <c r="C38"/>
  <c r="M19"/>
  <c r="C477" i="2"/>
  <c r="B426"/>
  <c r="A375"/>
  <c r="M323"/>
  <c r="G304"/>
  <c r="E291"/>
  <c r="C278"/>
  <c r="B265"/>
  <c r="M251"/>
  <c r="K238"/>
  <c r="J225"/>
  <c r="B216"/>
  <c r="C211"/>
  <c r="D206"/>
  <c r="E201"/>
  <c r="F196"/>
  <c r="G191"/>
  <c r="H186"/>
  <c r="I181"/>
  <c r="J176"/>
  <c r="K171"/>
  <c r="L166"/>
  <c r="M161"/>
  <c r="A157"/>
  <c r="B152"/>
  <c r="C147"/>
  <c r="D142"/>
  <c r="E137"/>
  <c r="F132"/>
  <c r="G127"/>
  <c r="H122"/>
  <c r="I117"/>
  <c r="M112"/>
  <c r="E108"/>
  <c r="K103"/>
  <c r="C99"/>
  <c r="I94"/>
  <c r="A90"/>
  <c r="G85"/>
  <c r="M80"/>
  <c r="E76"/>
  <c r="K71"/>
  <c r="C67"/>
  <c r="I62"/>
  <c r="A58"/>
  <c r="G53"/>
  <c r="M48"/>
  <c r="E44"/>
  <c r="K39"/>
  <c r="C35"/>
  <c r="I30"/>
  <c r="A26"/>
  <c r="G21"/>
  <c r="M16"/>
  <c r="E12"/>
  <c r="K7"/>
  <c r="D612" i="1"/>
  <c r="B602"/>
  <c r="C599"/>
  <c r="M597"/>
  <c r="B596"/>
  <c r="D594"/>
  <c r="A593"/>
  <c r="C591"/>
  <c r="M589"/>
  <c r="B588"/>
  <c r="D586"/>
  <c r="A585"/>
  <c r="C583"/>
  <c r="M581"/>
  <c r="B580"/>
  <c r="D578"/>
  <c r="A577"/>
  <c r="C575"/>
  <c r="M573"/>
  <c r="B572"/>
  <c r="D570"/>
  <c r="A569"/>
  <c r="E568"/>
  <c r="B567"/>
  <c r="D565"/>
  <c r="A564"/>
  <c r="C562"/>
  <c r="M560"/>
  <c r="B559"/>
  <c r="D557"/>
  <c r="A556"/>
  <c r="C554"/>
  <c r="H553"/>
  <c r="M552"/>
  <c r="B551"/>
  <c r="D549"/>
  <c r="A548"/>
  <c r="C546"/>
  <c r="M544"/>
  <c r="B543"/>
  <c r="D541"/>
  <c r="F540"/>
  <c r="B539"/>
  <c r="D537"/>
  <c r="A536"/>
  <c r="C534"/>
  <c r="M532"/>
  <c r="B531"/>
  <c r="D529"/>
  <c r="A528"/>
  <c r="C526"/>
  <c r="M524"/>
  <c r="B523"/>
  <c r="D521"/>
  <c r="A520"/>
  <c r="C518"/>
  <c r="M516"/>
  <c r="B515"/>
  <c r="D513"/>
  <c r="A512"/>
  <c r="C510"/>
  <c r="M508"/>
  <c r="B507"/>
  <c r="D505"/>
  <c r="A504"/>
  <c r="C502"/>
  <c r="M500"/>
  <c r="B499"/>
  <c r="D497"/>
  <c r="A496"/>
  <c r="C494"/>
  <c r="M492"/>
  <c r="B491"/>
  <c r="D489"/>
  <c r="A488"/>
  <c r="C486"/>
  <c r="M484"/>
  <c r="B483"/>
  <c r="D481"/>
  <c r="A480"/>
  <c r="C478"/>
  <c r="M476"/>
  <c r="B475"/>
  <c r="D473"/>
  <c r="A472"/>
  <c r="C470"/>
  <c r="M468"/>
  <c r="B467"/>
  <c r="D465"/>
  <c r="A464"/>
  <c r="C462"/>
  <c r="M460"/>
  <c r="B459"/>
  <c r="D457"/>
  <c r="A456"/>
  <c r="C454"/>
  <c r="D453"/>
  <c r="A452"/>
  <c r="C450"/>
  <c r="M448"/>
  <c r="B447"/>
  <c r="D445"/>
  <c r="A444"/>
  <c r="C442"/>
  <c r="M440"/>
  <c r="B439"/>
  <c r="D437"/>
  <c r="A436"/>
  <c r="C434"/>
  <c r="M432"/>
  <c r="B431"/>
  <c r="D429"/>
  <c r="A428"/>
  <c r="C426"/>
  <c r="M424"/>
  <c r="B423"/>
  <c r="D421"/>
  <c r="A420"/>
  <c r="C418"/>
  <c r="M416"/>
  <c r="B415"/>
  <c r="D413"/>
  <c r="A412"/>
  <c r="C410"/>
  <c r="M408"/>
  <c r="B407"/>
  <c r="D405"/>
  <c r="A404"/>
  <c r="C402"/>
  <c r="M400"/>
  <c r="B399"/>
  <c r="D397"/>
  <c r="A396"/>
  <c r="C394"/>
  <c r="M392"/>
  <c r="B391"/>
  <c r="D389"/>
  <c r="A388"/>
  <c r="C386"/>
  <c r="M384"/>
  <c r="B383"/>
  <c r="D381"/>
  <c r="A380"/>
  <c r="K378"/>
  <c r="C378"/>
  <c r="M376"/>
  <c r="B375"/>
  <c r="D373"/>
  <c r="A372"/>
  <c r="C370"/>
  <c r="M368"/>
  <c r="B367"/>
  <c r="D365"/>
  <c r="A364"/>
  <c r="C362"/>
  <c r="M360"/>
  <c r="E360"/>
  <c r="J359"/>
  <c r="B359"/>
  <c r="C358"/>
  <c r="H357"/>
  <c r="M356"/>
  <c r="E356"/>
  <c r="J355"/>
  <c r="B355"/>
  <c r="F354"/>
  <c r="J353"/>
  <c r="M352"/>
  <c r="D352"/>
  <c r="H351"/>
  <c r="M350"/>
  <c r="E350"/>
  <c r="F349"/>
  <c r="C348"/>
  <c r="H347"/>
  <c r="M346"/>
  <c r="E346"/>
  <c r="J345"/>
  <c r="A345"/>
  <c r="F344"/>
  <c r="K343"/>
  <c r="B343"/>
  <c r="G342"/>
  <c r="L341"/>
  <c r="D341"/>
  <c r="I340"/>
  <c r="A340"/>
  <c r="F339"/>
  <c r="D338"/>
  <c r="I337"/>
  <c r="A337"/>
  <c r="D336"/>
  <c r="I335"/>
  <c r="A335"/>
  <c r="C334"/>
  <c r="H333"/>
  <c r="L332"/>
  <c r="D332"/>
  <c r="I331"/>
  <c r="A331"/>
  <c r="F330"/>
  <c r="K329"/>
  <c r="M328"/>
  <c r="E328"/>
  <c r="J327"/>
  <c r="B327"/>
  <c r="G326"/>
  <c r="L325"/>
  <c r="D325"/>
  <c r="I324"/>
  <c r="A324"/>
  <c r="F323"/>
  <c r="K322"/>
  <c r="C322"/>
  <c r="H321"/>
  <c r="M320"/>
  <c r="B320"/>
  <c r="F319"/>
  <c r="G318"/>
  <c r="J317"/>
  <c r="M316"/>
  <c r="D316"/>
  <c r="D315"/>
  <c r="I314"/>
  <c r="A314"/>
  <c r="F313"/>
  <c r="K312"/>
  <c r="B312"/>
  <c r="G311"/>
  <c r="L310"/>
  <c r="D310"/>
  <c r="I309"/>
  <c r="A309"/>
  <c r="D308"/>
  <c r="I307"/>
  <c r="A307"/>
  <c r="E306"/>
  <c r="J305"/>
  <c r="B305"/>
  <c r="G304"/>
  <c r="L303"/>
  <c r="D303"/>
  <c r="E302"/>
  <c r="F301"/>
  <c r="K300"/>
  <c r="B300"/>
  <c r="F299"/>
  <c r="K298"/>
  <c r="C298"/>
  <c r="H297"/>
  <c r="M296"/>
  <c r="E296"/>
  <c r="J295"/>
  <c r="B295"/>
  <c r="C294"/>
  <c r="D293"/>
  <c r="I292"/>
  <c r="A292"/>
  <c r="C291"/>
  <c r="H290"/>
  <c r="M289"/>
  <c r="E289"/>
  <c r="J288"/>
  <c r="B288"/>
  <c r="G287"/>
  <c r="L286"/>
  <c r="D286"/>
  <c r="H285"/>
  <c r="M284"/>
  <c r="B284"/>
  <c r="G283"/>
  <c r="J282"/>
  <c r="B282"/>
  <c r="G281"/>
  <c r="L280"/>
  <c r="D280"/>
  <c r="I279"/>
  <c r="A279"/>
  <c r="F278"/>
  <c r="K277"/>
  <c r="C277"/>
  <c r="H276"/>
  <c r="M275"/>
  <c r="E275"/>
  <c r="J274"/>
  <c r="B274"/>
  <c r="G273"/>
  <c r="L272"/>
  <c r="D272"/>
  <c r="H271"/>
  <c r="M270"/>
  <c r="B270"/>
  <c r="F269"/>
  <c r="K268"/>
  <c r="B268"/>
  <c r="G267"/>
  <c r="J266"/>
  <c r="B266"/>
  <c r="E265"/>
  <c r="I264"/>
  <c r="M263"/>
  <c r="E263"/>
  <c r="E262"/>
  <c r="J261"/>
  <c r="B261"/>
  <c r="G260"/>
  <c r="L259"/>
  <c r="D259"/>
  <c r="I258"/>
  <c r="A258"/>
  <c r="C257"/>
  <c r="H256"/>
  <c r="M255"/>
  <c r="E255"/>
  <c r="J254"/>
  <c r="A254"/>
  <c r="F253"/>
  <c r="K252"/>
  <c r="B252"/>
  <c r="G251"/>
  <c r="L250"/>
  <c r="B250"/>
  <c r="F249"/>
  <c r="K248"/>
  <c r="B248"/>
  <c r="G247"/>
  <c r="L246"/>
  <c r="D246"/>
  <c r="I245"/>
  <c r="A245"/>
  <c r="B244"/>
  <c r="G243"/>
  <c r="L242"/>
  <c r="D242"/>
  <c r="I241"/>
  <c r="A241"/>
  <c r="F240"/>
  <c r="K239"/>
  <c r="C239"/>
  <c r="H238"/>
  <c r="M237"/>
  <c r="E237"/>
  <c r="J236"/>
  <c r="B236"/>
  <c r="G235"/>
  <c r="L234"/>
  <c r="C234"/>
  <c r="D233"/>
  <c r="E232"/>
  <c r="J231"/>
  <c r="M230"/>
  <c r="A230"/>
  <c r="E229"/>
  <c r="J228"/>
  <c r="B228"/>
  <c r="G227"/>
  <c r="L226"/>
  <c r="D226"/>
  <c r="G225"/>
  <c r="L224"/>
  <c r="C224"/>
  <c r="F223"/>
  <c r="J222"/>
  <c r="A222"/>
  <c r="C221"/>
  <c r="H220"/>
  <c r="M219"/>
  <c r="D219"/>
  <c r="I218"/>
  <c r="A218"/>
  <c r="D217"/>
  <c r="F216"/>
  <c r="J215"/>
  <c r="B215"/>
  <c r="G214"/>
  <c r="L213"/>
  <c r="D213"/>
  <c r="I212"/>
  <c r="A212"/>
  <c r="E211"/>
  <c r="J210"/>
  <c r="B210"/>
  <c r="G209"/>
  <c r="K208"/>
  <c r="A208"/>
  <c r="B207"/>
  <c r="D206"/>
  <c r="I205"/>
  <c r="A205"/>
  <c r="B204"/>
  <c r="G203"/>
  <c r="L202"/>
  <c r="B202"/>
  <c r="G201"/>
  <c r="L200"/>
  <c r="D200"/>
  <c r="G199"/>
  <c r="L198"/>
  <c r="D198"/>
  <c r="I197"/>
  <c r="A197"/>
  <c r="C196"/>
  <c r="H195"/>
  <c r="M194"/>
  <c r="A194"/>
  <c r="C193"/>
  <c r="H192"/>
  <c r="M191"/>
  <c r="E191"/>
  <c r="J190"/>
  <c r="B190"/>
  <c r="E189"/>
  <c r="F188"/>
  <c r="K187"/>
  <c r="C187"/>
  <c r="H186"/>
  <c r="M185"/>
  <c r="B185"/>
  <c r="G184"/>
  <c r="L183"/>
  <c r="B183"/>
  <c r="G182"/>
  <c r="L181"/>
  <c r="D181"/>
  <c r="I180"/>
  <c r="A180"/>
  <c r="F179"/>
  <c r="N133" i="3"/>
  <c r="G95"/>
  <c r="B77"/>
  <c r="L58"/>
  <c r="G40"/>
  <c r="C22"/>
  <c r="M483" i="2"/>
  <c r="D432"/>
  <c r="C381"/>
  <c r="B330"/>
  <c r="B306"/>
  <c r="M292"/>
  <c r="L279"/>
  <c r="J266"/>
  <c r="H253"/>
  <c r="G240"/>
  <c r="E227"/>
  <c r="J216"/>
  <c r="K211"/>
  <c r="L206"/>
  <c r="M201"/>
  <c r="A197"/>
  <c r="B192"/>
  <c r="C187"/>
  <c r="D182"/>
  <c r="E177"/>
  <c r="F172"/>
  <c r="G167"/>
  <c r="H162"/>
  <c r="I157"/>
  <c r="J152"/>
  <c r="K147"/>
  <c r="L142"/>
  <c r="M137"/>
  <c r="A133"/>
  <c r="B128"/>
  <c r="C123"/>
  <c r="D118"/>
  <c r="G113"/>
  <c r="M108"/>
  <c r="E104"/>
  <c r="K99"/>
  <c r="C95"/>
  <c r="I90"/>
  <c r="A86"/>
  <c r="G81"/>
  <c r="M76"/>
  <c r="E72"/>
  <c r="K67"/>
  <c r="C63"/>
  <c r="I58"/>
  <c r="A54"/>
  <c r="G49"/>
  <c r="M44"/>
  <c r="E40"/>
  <c r="K35"/>
  <c r="C31"/>
  <c r="I26"/>
  <c r="A22"/>
  <c r="G17"/>
  <c r="M12"/>
  <c r="E8"/>
  <c r="B614" i="1"/>
  <c r="L602"/>
  <c r="D599"/>
  <c r="A598"/>
  <c r="C596"/>
  <c r="M594"/>
  <c r="B593"/>
  <c r="D591"/>
  <c r="A590"/>
  <c r="C588"/>
  <c r="M586"/>
  <c r="B585"/>
  <c r="D583"/>
  <c r="A582"/>
  <c r="C580"/>
  <c r="M578"/>
  <c r="B577"/>
  <c r="D575"/>
  <c r="A574"/>
  <c r="C572"/>
  <c r="M570"/>
  <c r="B569"/>
  <c r="G568"/>
  <c r="C567"/>
  <c r="M565"/>
  <c r="B564"/>
  <c r="D562"/>
  <c r="A561"/>
  <c r="C559"/>
  <c r="M557"/>
  <c r="B556"/>
  <c r="D554"/>
  <c r="I553"/>
  <c r="A553"/>
  <c r="C551"/>
  <c r="M549"/>
  <c r="B548"/>
  <c r="D546"/>
  <c r="A545"/>
  <c r="C543"/>
  <c r="M541"/>
  <c r="G540"/>
  <c r="C539"/>
  <c r="M537"/>
  <c r="B536"/>
  <c r="D534"/>
  <c r="A533"/>
  <c r="C531"/>
  <c r="M529"/>
  <c r="B528"/>
  <c r="D526"/>
  <c r="A525"/>
  <c r="C523"/>
  <c r="M521"/>
  <c r="B520"/>
  <c r="D518"/>
  <c r="A517"/>
  <c r="C515"/>
  <c r="M513"/>
  <c r="B512"/>
  <c r="D510"/>
  <c r="A509"/>
  <c r="C507"/>
  <c r="M505"/>
  <c r="B504"/>
  <c r="D502"/>
  <c r="A501"/>
  <c r="C499"/>
  <c r="M497"/>
  <c r="B496"/>
  <c r="D494"/>
  <c r="A493"/>
  <c r="C491"/>
  <c r="M489"/>
  <c r="B488"/>
  <c r="D486"/>
  <c r="A485"/>
  <c r="C483"/>
  <c r="M481"/>
  <c r="B480"/>
  <c r="D478"/>
  <c r="A477"/>
  <c r="C475"/>
  <c r="M473"/>
  <c r="B472"/>
  <c r="D470"/>
  <c r="A469"/>
  <c r="C467"/>
  <c r="M465"/>
  <c r="B464"/>
  <c r="D462"/>
  <c r="A461"/>
  <c r="C459"/>
  <c r="M457"/>
  <c r="B456"/>
  <c r="D454"/>
  <c r="E453"/>
  <c r="B452"/>
  <c r="D450"/>
  <c r="A449"/>
  <c r="C447"/>
  <c r="M445"/>
  <c r="B444"/>
  <c r="D442"/>
  <c r="A441"/>
  <c r="C439"/>
  <c r="M437"/>
  <c r="B436"/>
  <c r="D434"/>
  <c r="A433"/>
  <c r="C431"/>
  <c r="M429"/>
  <c r="B428"/>
  <c r="D426"/>
  <c r="A425"/>
  <c r="C423"/>
  <c r="M421"/>
  <c r="B420"/>
  <c r="D418"/>
  <c r="A417"/>
  <c r="C415"/>
  <c r="M413"/>
  <c r="B412"/>
  <c r="D410"/>
  <c r="A409"/>
  <c r="C407"/>
  <c r="M405"/>
  <c r="B404"/>
  <c r="D402"/>
  <c r="A401"/>
  <c r="C399"/>
  <c r="M397"/>
  <c r="B396"/>
  <c r="D394"/>
  <c r="A393"/>
  <c r="C391"/>
  <c r="M389"/>
  <c r="B388"/>
  <c r="D386"/>
  <c r="A385"/>
  <c r="C383"/>
  <c r="M381"/>
  <c r="B380"/>
  <c r="L378"/>
  <c r="D378"/>
  <c r="A377"/>
  <c r="C375"/>
  <c r="M373"/>
  <c r="B372"/>
  <c r="D370"/>
  <c r="A369"/>
  <c r="C367"/>
  <c r="M365"/>
  <c r="B364"/>
  <c r="D362"/>
  <c r="A361"/>
  <c r="F360"/>
  <c r="K359"/>
  <c r="C359"/>
  <c r="D358"/>
  <c r="I357"/>
  <c r="A357"/>
  <c r="F356"/>
  <c r="K355"/>
  <c r="C355"/>
  <c r="H354"/>
  <c r="L353"/>
  <c r="A353"/>
  <c r="E352"/>
  <c r="I351"/>
  <c r="A351"/>
  <c r="F350"/>
  <c r="G349"/>
  <c r="D348"/>
  <c r="I347"/>
  <c r="A347"/>
  <c r="F346"/>
  <c r="K345"/>
  <c r="B345"/>
  <c r="G344"/>
  <c r="L343"/>
  <c r="C343"/>
  <c r="H342"/>
  <c r="M341"/>
  <c r="E341"/>
  <c r="J340"/>
  <c r="B340"/>
  <c r="G339"/>
  <c r="L338"/>
  <c r="J337"/>
  <c r="B337"/>
  <c r="E336"/>
  <c r="J335"/>
  <c r="B335"/>
  <c r="D334"/>
  <c r="I333"/>
  <c r="M332"/>
  <c r="E332"/>
  <c r="J331"/>
  <c r="B331"/>
  <c r="G330"/>
  <c r="L329"/>
  <c r="A329"/>
  <c r="F328"/>
  <c r="K327"/>
  <c r="C327"/>
  <c r="H326"/>
  <c r="M325"/>
  <c r="E325"/>
  <c r="J324"/>
  <c r="B324"/>
  <c r="G323"/>
  <c r="L322"/>
  <c r="D322"/>
  <c r="I321"/>
  <c r="A321"/>
  <c r="C320"/>
  <c r="G319"/>
  <c r="L318"/>
  <c r="M317"/>
  <c r="A317"/>
  <c r="E316"/>
  <c r="E315"/>
  <c r="J314"/>
  <c r="B314"/>
  <c r="G313"/>
  <c r="L312"/>
  <c r="C312"/>
  <c r="H311"/>
  <c r="M310"/>
  <c r="E310"/>
  <c r="J309"/>
  <c r="B309"/>
  <c r="E308"/>
  <c r="J307"/>
  <c r="B307"/>
  <c r="F306"/>
  <c r="K305"/>
  <c r="C305"/>
  <c r="H304"/>
  <c r="M303"/>
  <c r="E303"/>
  <c r="F302"/>
  <c r="G301"/>
  <c r="L300"/>
  <c r="C300"/>
  <c r="G299"/>
  <c r="L298"/>
  <c r="D298"/>
  <c r="I297"/>
  <c r="A297"/>
  <c r="F296"/>
  <c r="K295"/>
  <c r="C295"/>
  <c r="D294"/>
  <c r="E293"/>
  <c r="J292"/>
  <c r="B292"/>
  <c r="D291"/>
  <c r="I290"/>
  <c r="A290"/>
  <c r="F289"/>
  <c r="K288"/>
  <c r="C288"/>
  <c r="H287"/>
  <c r="M286"/>
  <c r="E286"/>
  <c r="I285"/>
  <c r="A285"/>
  <c r="C284"/>
  <c r="H283"/>
  <c r="K282"/>
  <c r="C282"/>
  <c r="H281"/>
  <c r="M280"/>
  <c r="E280"/>
  <c r="J279"/>
  <c r="B279"/>
  <c r="G278"/>
  <c r="L277"/>
  <c r="D277"/>
  <c r="I276"/>
  <c r="A276"/>
  <c r="F275"/>
  <c r="K274"/>
  <c r="C274"/>
  <c r="H273"/>
  <c r="M272"/>
  <c r="E272"/>
  <c r="I271"/>
  <c r="A271"/>
  <c r="C270"/>
  <c r="G269"/>
  <c r="L268"/>
  <c r="C268"/>
  <c r="H267"/>
  <c r="K266"/>
  <c r="C266"/>
  <c r="F265"/>
  <c r="J264"/>
  <c r="A264"/>
  <c r="F263"/>
  <c r="G262"/>
  <c r="K261"/>
  <c r="C261"/>
  <c r="H260"/>
  <c r="M259"/>
  <c r="E259"/>
  <c r="J258"/>
  <c r="B258"/>
  <c r="D257"/>
  <c r="I256"/>
  <c r="A256"/>
  <c r="F255"/>
  <c r="K254"/>
  <c r="B254"/>
  <c r="G253"/>
  <c r="L252"/>
  <c r="C252"/>
  <c r="H251"/>
  <c r="M250"/>
  <c r="C250"/>
  <c r="G249"/>
  <c r="L248"/>
  <c r="C248"/>
  <c r="H247"/>
  <c r="M246"/>
  <c r="E246"/>
  <c r="J245"/>
  <c r="B245"/>
  <c r="C244"/>
  <c r="H243"/>
  <c r="M242"/>
  <c r="E242"/>
  <c r="J241"/>
  <c r="B241"/>
  <c r="G240"/>
  <c r="L239"/>
  <c r="D239"/>
  <c r="I238"/>
  <c r="A238"/>
  <c r="F237"/>
  <c r="K236"/>
  <c r="C236"/>
  <c r="H235"/>
  <c r="M234"/>
  <c r="D234"/>
  <c r="E233"/>
  <c r="G232"/>
  <c r="K231"/>
  <c r="A231"/>
  <c r="B230"/>
  <c r="F229"/>
  <c r="K228"/>
  <c r="C228"/>
  <c r="H227"/>
  <c r="M226"/>
  <c r="E226"/>
  <c r="J225"/>
  <c r="M224"/>
  <c r="D224"/>
  <c r="G223"/>
  <c r="L222"/>
  <c r="B222"/>
  <c r="D221"/>
  <c r="I220"/>
  <c r="A220"/>
  <c r="E219"/>
  <c r="J218"/>
  <c r="B218"/>
  <c r="E217"/>
  <c r="G216"/>
  <c r="K215"/>
  <c r="C215"/>
  <c r="H214"/>
  <c r="M213"/>
  <c r="E213"/>
  <c r="J212"/>
  <c r="B212"/>
  <c r="F211"/>
  <c r="K210"/>
  <c r="C210"/>
  <c r="H209"/>
  <c r="L208"/>
  <c r="B208"/>
  <c r="C207"/>
  <c r="E206"/>
  <c r="J205"/>
  <c r="B205"/>
  <c r="C204"/>
  <c r="H203"/>
  <c r="M202"/>
  <c r="C202"/>
  <c r="H201"/>
  <c r="M200"/>
  <c r="E200"/>
  <c r="H199"/>
  <c r="M198"/>
  <c r="E198"/>
  <c r="J197"/>
  <c r="B197"/>
  <c r="D196"/>
  <c r="I195"/>
  <c r="A195"/>
  <c r="B194"/>
  <c r="D193"/>
  <c r="I192"/>
  <c r="A192"/>
  <c r="F191"/>
  <c r="K190"/>
  <c r="C190"/>
  <c r="F189"/>
  <c r="J188"/>
  <c r="L187"/>
  <c r="D187"/>
  <c r="I186"/>
  <c r="A186"/>
  <c r="C185"/>
  <c r="H184"/>
  <c r="M183"/>
  <c r="C183"/>
  <c r="H182"/>
  <c r="M181"/>
  <c r="E181"/>
  <c r="J180"/>
  <c r="B180"/>
  <c r="G179"/>
  <c r="L178"/>
  <c r="D178"/>
  <c r="I177"/>
  <c r="A177"/>
  <c r="F176"/>
  <c r="K175"/>
  <c r="C175"/>
  <c r="H174"/>
  <c r="M173"/>
  <c r="E173"/>
  <c r="J172"/>
  <c r="B172"/>
  <c r="G171"/>
  <c r="L170"/>
  <c r="C170"/>
  <c r="D169"/>
  <c r="I168"/>
  <c r="A168"/>
  <c r="F167"/>
  <c r="J166"/>
  <c r="A166"/>
  <c r="F165"/>
  <c r="K164"/>
  <c r="C164"/>
  <c r="G163"/>
  <c r="L162"/>
  <c r="A162"/>
  <c r="D161"/>
  <c r="I160"/>
  <c r="A160"/>
  <c r="F159"/>
  <c r="K158"/>
  <c r="C158"/>
  <c r="H157"/>
  <c r="M156"/>
  <c r="C156"/>
  <c r="H155"/>
  <c r="M154"/>
  <c r="E154"/>
  <c r="I153"/>
  <c r="A153"/>
  <c r="C152"/>
  <c r="H151"/>
  <c r="M150"/>
  <c r="E150"/>
  <c r="J149"/>
  <c r="A149"/>
  <c r="F148"/>
  <c r="K147"/>
  <c r="C147"/>
  <c r="F146"/>
  <c r="K145"/>
  <c r="C145"/>
  <c r="H144"/>
  <c r="M143"/>
  <c r="E143"/>
  <c r="J142"/>
  <c r="B142"/>
  <c r="G141"/>
  <c r="L140"/>
  <c r="A140"/>
  <c r="F139"/>
  <c r="K138"/>
  <c r="C138"/>
  <c r="H137"/>
  <c r="L136"/>
  <c r="D136"/>
  <c r="G135"/>
  <c r="L134"/>
  <c r="B134"/>
  <c r="G133"/>
  <c r="M132"/>
  <c r="D132"/>
  <c r="J131"/>
  <c r="B131"/>
  <c r="D130"/>
  <c r="H129"/>
  <c r="N128"/>
  <c r="E128"/>
  <c r="K127"/>
  <c r="C127"/>
  <c r="I126"/>
  <c r="A126"/>
  <c r="G125"/>
  <c r="M124"/>
  <c r="E124"/>
  <c r="J123"/>
  <c r="A123"/>
  <c r="G122"/>
  <c r="M121"/>
  <c r="D121"/>
  <c r="J120"/>
  <c r="B120"/>
  <c r="H119"/>
  <c r="N118"/>
  <c r="F118"/>
  <c r="L117"/>
  <c r="D117"/>
  <c r="J116"/>
  <c r="A116"/>
  <c r="G115"/>
  <c r="M114"/>
  <c r="E114"/>
  <c r="K113"/>
  <c r="C113"/>
  <c r="I112"/>
  <c r="A112"/>
  <c r="M146" i="3"/>
  <c r="L97"/>
  <c r="F79"/>
  <c r="B61"/>
  <c r="K42"/>
  <c r="G24"/>
  <c r="D5"/>
  <c r="A439" i="2"/>
  <c r="M387"/>
  <c r="D336"/>
  <c r="J307"/>
  <c r="I294"/>
  <c r="G281"/>
  <c r="E268"/>
  <c r="D255"/>
  <c r="B242"/>
  <c r="M228"/>
  <c r="E217"/>
  <c r="F212"/>
  <c r="G207"/>
  <c r="H202"/>
  <c r="I197"/>
  <c r="J192"/>
  <c r="K187"/>
  <c r="L182"/>
  <c r="M177"/>
  <c r="A173"/>
  <c r="B168"/>
  <c r="C163"/>
  <c r="D158"/>
  <c r="E153"/>
  <c r="F148"/>
  <c r="G143"/>
  <c r="H138"/>
  <c r="I133"/>
  <c r="J128"/>
  <c r="K123"/>
  <c r="L118"/>
  <c r="A114"/>
  <c r="G109"/>
  <c r="M104"/>
  <c r="E100"/>
  <c r="K95"/>
  <c r="C91"/>
  <c r="I86"/>
  <c r="A82"/>
  <c r="G77"/>
  <c r="M72"/>
  <c r="E68"/>
  <c r="K63"/>
  <c r="C59"/>
  <c r="I54"/>
  <c r="A50"/>
  <c r="G45"/>
  <c r="M40"/>
  <c r="E36"/>
  <c r="K31"/>
  <c r="C27"/>
  <c r="I22"/>
  <c r="A18"/>
  <c r="G13"/>
  <c r="M8"/>
  <c r="M615" i="1"/>
  <c r="B604"/>
  <c r="M599"/>
  <c r="B598"/>
  <c r="D596"/>
  <c r="A595"/>
  <c r="C593"/>
  <c r="M591"/>
  <c r="B590"/>
  <c r="D588"/>
  <c r="A587"/>
  <c r="C585"/>
  <c r="M583"/>
  <c r="B582"/>
  <c r="D580"/>
  <c r="A579"/>
  <c r="C577"/>
  <c r="M575"/>
  <c r="B574"/>
  <c r="D572"/>
  <c r="A571"/>
  <c r="C569"/>
  <c r="H568"/>
  <c r="D567"/>
  <c r="A566"/>
  <c r="C564"/>
  <c r="M562"/>
  <c r="B561"/>
  <c r="D559"/>
  <c r="A558"/>
  <c r="C556"/>
  <c r="M554"/>
  <c r="J553"/>
  <c r="B553"/>
  <c r="D551"/>
  <c r="A550"/>
  <c r="C548"/>
  <c r="M546"/>
  <c r="B545"/>
  <c r="D543"/>
  <c r="A542"/>
  <c r="H540"/>
  <c r="D539"/>
  <c r="A538"/>
  <c r="C536"/>
  <c r="M534"/>
  <c r="B533"/>
  <c r="D531"/>
  <c r="A530"/>
  <c r="C528"/>
  <c r="M526"/>
  <c r="B525"/>
  <c r="D523"/>
  <c r="A522"/>
  <c r="C520"/>
  <c r="M518"/>
  <c r="B517"/>
  <c r="D515"/>
  <c r="A514"/>
  <c r="C512"/>
  <c r="M510"/>
  <c r="B509"/>
  <c r="D507"/>
  <c r="A506"/>
  <c r="C504"/>
  <c r="M502"/>
  <c r="B501"/>
  <c r="D499"/>
  <c r="A498"/>
  <c r="C496"/>
  <c r="M494"/>
  <c r="B493"/>
  <c r="D491"/>
  <c r="A490"/>
  <c r="C488"/>
  <c r="M486"/>
  <c r="B485"/>
  <c r="D483"/>
  <c r="A482"/>
  <c r="C480"/>
  <c r="M478"/>
  <c r="B477"/>
  <c r="D475"/>
  <c r="A474"/>
  <c r="C472"/>
  <c r="M470"/>
  <c r="B469"/>
  <c r="D467"/>
  <c r="A466"/>
  <c r="C464"/>
  <c r="M462"/>
  <c r="B461"/>
  <c r="D459"/>
  <c r="A458"/>
  <c r="C456"/>
  <c r="M454"/>
  <c r="F453"/>
  <c r="C452"/>
  <c r="M450"/>
  <c r="B449"/>
  <c r="D447"/>
  <c r="A446"/>
  <c r="C444"/>
  <c r="M442"/>
  <c r="B441"/>
  <c r="D439"/>
  <c r="A438"/>
  <c r="C436"/>
  <c r="M434"/>
  <c r="B433"/>
  <c r="D431"/>
  <c r="A430"/>
  <c r="C428"/>
  <c r="M426"/>
  <c r="B425"/>
  <c r="D423"/>
  <c r="A422"/>
  <c r="C420"/>
  <c r="M418"/>
  <c r="B417"/>
  <c r="D415"/>
  <c r="A414"/>
  <c r="C412"/>
  <c r="M410"/>
  <c r="B409"/>
  <c r="D407"/>
  <c r="A406"/>
  <c r="C404"/>
  <c r="M402"/>
  <c r="B401"/>
  <c r="D399"/>
  <c r="A398"/>
  <c r="C396"/>
  <c r="M394"/>
  <c r="B393"/>
  <c r="D391"/>
  <c r="A390"/>
  <c r="C388"/>
  <c r="M386"/>
  <c r="B385"/>
  <c r="D383"/>
  <c r="A382"/>
  <c r="C380"/>
  <c r="M378"/>
  <c r="E378"/>
  <c r="B377"/>
  <c r="D375"/>
  <c r="A374"/>
  <c r="C372"/>
  <c r="M370"/>
  <c r="B369"/>
  <c r="D367"/>
  <c r="A366"/>
  <c r="C364"/>
  <c r="M362"/>
  <c r="B361"/>
  <c r="G360"/>
  <c r="L359"/>
  <c r="D359"/>
  <c r="F358"/>
  <c r="J357"/>
  <c r="B357"/>
  <c r="G356"/>
  <c r="L355"/>
  <c r="D355"/>
  <c r="I354"/>
  <c r="M353"/>
  <c r="B353"/>
  <c r="F352"/>
  <c r="J351"/>
  <c r="B351"/>
  <c r="G350"/>
  <c r="L349"/>
  <c r="L348"/>
  <c r="J347"/>
  <c r="B347"/>
  <c r="G346"/>
  <c r="L345"/>
  <c r="C345"/>
  <c r="H344"/>
  <c r="M343"/>
  <c r="D343"/>
  <c r="I342"/>
  <c r="A342"/>
  <c r="F341"/>
  <c r="K340"/>
  <c r="C340"/>
  <c r="H339"/>
  <c r="M338"/>
  <c r="K337"/>
  <c r="C337"/>
  <c r="H336"/>
  <c r="K335"/>
  <c r="C335"/>
  <c r="E334"/>
  <c r="J333"/>
  <c r="A333"/>
  <c r="F332"/>
  <c r="K331"/>
  <c r="C331"/>
  <c r="H330"/>
  <c r="M329"/>
  <c r="B329"/>
  <c r="G328"/>
  <c r="L327"/>
  <c r="D327"/>
  <c r="I326"/>
  <c r="A326"/>
  <c r="F325"/>
  <c r="K324"/>
  <c r="C324"/>
  <c r="H323"/>
  <c r="M322"/>
  <c r="E322"/>
  <c r="J321"/>
  <c r="B321"/>
  <c r="D320"/>
  <c r="H319"/>
  <c r="M318"/>
  <c r="A318"/>
  <c r="B317"/>
  <c r="F316"/>
  <c r="H315"/>
  <c r="K314"/>
  <c r="C314"/>
  <c r="H313"/>
  <c r="M312"/>
  <c r="D312"/>
  <c r="I311"/>
  <c r="A311"/>
  <c r="F310"/>
  <c r="K309"/>
  <c r="C309"/>
  <c r="F308"/>
  <c r="K307"/>
  <c r="C307"/>
  <c r="G306"/>
  <c r="L305"/>
  <c r="D305"/>
  <c r="I304"/>
  <c r="A304"/>
  <c r="F303"/>
  <c r="G302"/>
  <c r="H301"/>
  <c r="M300"/>
  <c r="D300"/>
  <c r="H299"/>
  <c r="M298"/>
  <c r="E298"/>
  <c r="J297"/>
  <c r="B297"/>
  <c r="G296"/>
  <c r="L295"/>
  <c r="D295"/>
  <c r="E294"/>
  <c r="F293"/>
  <c r="K292"/>
  <c r="C292"/>
  <c r="E291"/>
  <c r="J290"/>
  <c r="B290"/>
  <c r="G289"/>
  <c r="L288"/>
  <c r="D288"/>
  <c r="I287"/>
  <c r="A287"/>
  <c r="F286"/>
  <c r="J285"/>
  <c r="B285"/>
  <c r="D284"/>
  <c r="I283"/>
  <c r="L282"/>
  <c r="D282"/>
  <c r="I281"/>
  <c r="A281"/>
  <c r="F280"/>
  <c r="K279"/>
  <c r="C279"/>
  <c r="H278"/>
  <c r="M277"/>
  <c r="E277"/>
  <c r="J276"/>
  <c r="B276"/>
  <c r="G275"/>
  <c r="L274"/>
  <c r="D274"/>
  <c r="I273"/>
  <c r="A273"/>
  <c r="F272"/>
  <c r="K271"/>
  <c r="B271"/>
  <c r="D270"/>
  <c r="H269"/>
  <c r="M268"/>
  <c r="D268"/>
  <c r="I267"/>
  <c r="M266"/>
  <c r="D266"/>
  <c r="G265"/>
  <c r="L264"/>
  <c r="B264"/>
  <c r="G263"/>
  <c r="J262"/>
  <c r="L261"/>
  <c r="D261"/>
  <c r="I260"/>
  <c r="A260"/>
  <c r="F259"/>
  <c r="K258"/>
  <c r="C258"/>
  <c r="E257"/>
  <c r="J256"/>
  <c r="B256"/>
  <c r="G255"/>
  <c r="L254"/>
  <c r="C254"/>
  <c r="H253"/>
  <c r="M252"/>
  <c r="D252"/>
  <c r="I251"/>
  <c r="A251"/>
  <c r="D250"/>
  <c r="H249"/>
  <c r="M248"/>
  <c r="D248"/>
  <c r="I247"/>
  <c r="A247"/>
  <c r="F246"/>
  <c r="K245"/>
  <c r="C245"/>
  <c r="D244"/>
  <c r="I243"/>
  <c r="A243"/>
  <c r="F242"/>
  <c r="K241"/>
  <c r="C241"/>
  <c r="H240"/>
  <c r="M239"/>
  <c r="E239"/>
  <c r="J238"/>
  <c r="B238"/>
  <c r="G237"/>
  <c r="L236"/>
  <c r="D236"/>
  <c r="I235"/>
  <c r="A235"/>
  <c r="E234"/>
  <c r="F233"/>
  <c r="H232"/>
  <c r="L231"/>
  <c r="B231"/>
  <c r="C230"/>
  <c r="G229"/>
  <c r="L228"/>
  <c r="D228"/>
  <c r="I227"/>
  <c r="A227"/>
  <c r="F226"/>
  <c r="K225"/>
  <c r="A225"/>
  <c r="E224"/>
  <c r="J223"/>
  <c r="M222"/>
  <c r="C222"/>
  <c r="E221"/>
  <c r="J220"/>
  <c r="B220"/>
  <c r="G219"/>
  <c r="K218"/>
  <c r="C218"/>
  <c r="G217"/>
  <c r="H216"/>
  <c r="L215"/>
  <c r="D215"/>
  <c r="I214"/>
  <c r="A214"/>
  <c r="F213"/>
  <c r="K212"/>
  <c r="C212"/>
  <c r="G211"/>
  <c r="L210"/>
  <c r="D210"/>
  <c r="I209"/>
  <c r="M208"/>
  <c r="C208"/>
  <c r="D207"/>
  <c r="G206"/>
  <c r="K205"/>
  <c r="C205"/>
  <c r="D204"/>
  <c r="I203"/>
  <c r="A203"/>
  <c r="D202"/>
  <c r="I201"/>
  <c r="A201"/>
  <c r="F200"/>
  <c r="K199"/>
  <c r="A199"/>
  <c r="F198"/>
  <c r="K197"/>
  <c r="C197"/>
  <c r="E196"/>
  <c r="J195"/>
  <c r="B195"/>
  <c r="C194"/>
  <c r="E193"/>
  <c r="J192"/>
  <c r="B192"/>
  <c r="G191"/>
  <c r="L190"/>
  <c r="D190"/>
  <c r="H189"/>
  <c r="L188"/>
  <c r="I166" i="3"/>
  <c r="B100"/>
  <c r="J81"/>
  <c r="F63"/>
  <c r="A45"/>
  <c r="K26"/>
  <c r="G8"/>
  <c r="C445" i="2"/>
  <c r="B394"/>
  <c r="A343"/>
  <c r="F309"/>
  <c r="D296"/>
  <c r="B283"/>
  <c r="A270"/>
  <c r="L256"/>
  <c r="J243"/>
  <c r="I230"/>
  <c r="M217"/>
  <c r="A213"/>
  <c r="B208"/>
  <c r="C203"/>
  <c r="D198"/>
  <c r="E193"/>
  <c r="F188"/>
  <c r="G183"/>
  <c r="H178"/>
  <c r="I173"/>
  <c r="J168"/>
  <c r="K163"/>
  <c r="L158"/>
  <c r="M153"/>
  <c r="A149"/>
  <c r="B144"/>
  <c r="C139"/>
  <c r="D134"/>
  <c r="E129"/>
  <c r="F124"/>
  <c r="G119"/>
  <c r="I114"/>
  <c r="A110"/>
  <c r="G105"/>
  <c r="M100"/>
  <c r="E96"/>
  <c r="K91"/>
  <c r="C87"/>
  <c r="I82"/>
  <c r="A78"/>
  <c r="G73"/>
  <c r="M68"/>
  <c r="E64"/>
  <c r="K59"/>
  <c r="C55"/>
  <c r="I50"/>
  <c r="A46"/>
  <c r="G41"/>
  <c r="M36"/>
  <c r="E32"/>
  <c r="K27"/>
  <c r="C23"/>
  <c r="I18"/>
  <c r="A14"/>
  <c r="G9"/>
  <c r="C617" i="1"/>
  <c r="M605"/>
  <c r="A600"/>
  <c r="C598"/>
  <c r="M596"/>
  <c r="B595"/>
  <c r="D593"/>
  <c r="A592"/>
  <c r="C590"/>
  <c r="M588"/>
  <c r="B587"/>
  <c r="D585"/>
  <c r="A584"/>
  <c r="C582"/>
  <c r="M580"/>
  <c r="B579"/>
  <c r="D577"/>
  <c r="A576"/>
  <c r="C574"/>
  <c r="M572"/>
  <c r="B571"/>
  <c r="D569"/>
  <c r="I568"/>
  <c r="M567"/>
  <c r="B566"/>
  <c r="D564"/>
  <c r="A563"/>
  <c r="C561"/>
  <c r="M559"/>
  <c r="B558"/>
  <c r="D556"/>
  <c r="A555"/>
  <c r="K553"/>
  <c r="C553"/>
  <c r="M551"/>
  <c r="B550"/>
  <c r="D548"/>
  <c r="A547"/>
  <c r="C545"/>
  <c r="M543"/>
  <c r="B542"/>
  <c r="I540"/>
  <c r="M539"/>
  <c r="B538"/>
  <c r="D536"/>
  <c r="A535"/>
  <c r="C533"/>
  <c r="M531"/>
  <c r="B530"/>
  <c r="D528"/>
  <c r="A527"/>
  <c r="C525"/>
  <c r="M523"/>
  <c r="B522"/>
  <c r="D520"/>
  <c r="A519"/>
  <c r="C517"/>
  <c r="M515"/>
  <c r="B514"/>
  <c r="D512"/>
  <c r="A511"/>
  <c r="C509"/>
  <c r="M507"/>
  <c r="B506"/>
  <c r="D504"/>
  <c r="A503"/>
  <c r="C501"/>
  <c r="M499"/>
  <c r="B498"/>
  <c r="D496"/>
  <c r="A495"/>
  <c r="C493"/>
  <c r="M491"/>
  <c r="B490"/>
  <c r="D488"/>
  <c r="A487"/>
  <c r="C485"/>
  <c r="M483"/>
  <c r="B482"/>
  <c r="D480"/>
  <c r="A479"/>
  <c r="C477"/>
  <c r="M475"/>
  <c r="B474"/>
  <c r="D472"/>
  <c r="A471"/>
  <c r="C469"/>
  <c r="M467"/>
  <c r="B466"/>
  <c r="D464"/>
  <c r="A463"/>
  <c r="C461"/>
  <c r="M459"/>
  <c r="B458"/>
  <c r="D456"/>
  <c r="A455"/>
  <c r="I453"/>
  <c r="D452"/>
  <c r="A451"/>
  <c r="C449"/>
  <c r="M447"/>
  <c r="B446"/>
  <c r="D444"/>
  <c r="A443"/>
  <c r="C441"/>
  <c r="M439"/>
  <c r="B438"/>
  <c r="D436"/>
  <c r="A435"/>
  <c r="C433"/>
  <c r="M431"/>
  <c r="B430"/>
  <c r="D428"/>
  <c r="A427"/>
  <c r="C425"/>
  <c r="M423"/>
  <c r="B422"/>
  <c r="D420"/>
  <c r="A419"/>
  <c r="C417"/>
  <c r="M415"/>
  <c r="B414"/>
  <c r="D412"/>
  <c r="A411"/>
  <c r="C409"/>
  <c r="M407"/>
  <c r="B406"/>
  <c r="D404"/>
  <c r="A403"/>
  <c r="C401"/>
  <c r="M399"/>
  <c r="B398"/>
  <c r="D396"/>
  <c r="A395"/>
  <c r="C393"/>
  <c r="M391"/>
  <c r="B390"/>
  <c r="D388"/>
  <c r="A387"/>
  <c r="C385"/>
  <c r="M383"/>
  <c r="B382"/>
  <c r="D380"/>
  <c r="A379"/>
  <c r="F378"/>
  <c r="C377"/>
  <c r="M375"/>
  <c r="B374"/>
  <c r="D372"/>
  <c r="A371"/>
  <c r="C369"/>
  <c r="M367"/>
  <c r="B366"/>
  <c r="D364"/>
  <c r="A363"/>
  <c r="C361"/>
  <c r="H360"/>
  <c r="M359"/>
  <c r="E359"/>
  <c r="H358"/>
  <c r="K357"/>
  <c r="C357"/>
  <c r="H356"/>
  <c r="M355"/>
  <c r="E355"/>
  <c r="J354"/>
  <c r="A354"/>
  <c r="C353"/>
  <c r="G352"/>
  <c r="K351"/>
  <c r="C351"/>
  <c r="H350"/>
  <c r="M349"/>
  <c r="M348"/>
  <c r="K347"/>
  <c r="C347"/>
  <c r="H346"/>
  <c r="M345"/>
  <c r="D345"/>
  <c r="I344"/>
  <c r="A344"/>
  <c r="E343"/>
  <c r="J342"/>
  <c r="B342"/>
  <c r="G341"/>
  <c r="L340"/>
  <c r="D340"/>
  <c r="I339"/>
  <c r="A339"/>
  <c r="L337"/>
  <c r="D337"/>
  <c r="I336"/>
  <c r="L335"/>
  <c r="D335"/>
  <c r="F334"/>
  <c r="K333"/>
  <c r="B333"/>
  <c r="G332"/>
  <c r="L331"/>
  <c r="D331"/>
  <c r="I330"/>
  <c r="A330"/>
  <c r="C329"/>
  <c r="H328"/>
  <c r="M327"/>
  <c r="E327"/>
  <c r="J326"/>
  <c r="B326"/>
  <c r="G325"/>
  <c r="L324"/>
  <c r="D324"/>
  <c r="I323"/>
  <c r="A323"/>
  <c r="F322"/>
  <c r="K321"/>
  <c r="C321"/>
  <c r="G320"/>
  <c r="I319"/>
  <c r="A319"/>
  <c r="B318"/>
  <c r="C317"/>
  <c r="G316"/>
  <c r="L315"/>
  <c r="L314"/>
  <c r="D314"/>
  <c r="I313"/>
  <c r="A313"/>
  <c r="E312"/>
  <c r="J311"/>
  <c r="B311"/>
  <c r="G310"/>
  <c r="L309"/>
  <c r="D309"/>
  <c r="G308"/>
  <c r="L307"/>
  <c r="D307"/>
  <c r="H306"/>
  <c r="M305"/>
  <c r="E305"/>
  <c r="J304"/>
  <c r="B304"/>
  <c r="G303"/>
  <c r="H302"/>
  <c r="M301"/>
  <c r="A301"/>
  <c r="E300"/>
  <c r="I299"/>
  <c r="A299"/>
  <c r="F298"/>
  <c r="K297"/>
  <c r="C297"/>
  <c r="H296"/>
  <c r="M295"/>
  <c r="E295"/>
  <c r="G294"/>
  <c r="G293"/>
  <c r="L292"/>
  <c r="D292"/>
  <c r="F291"/>
  <c r="K290"/>
  <c r="C290"/>
  <c r="H289"/>
  <c r="M288"/>
  <c r="E288"/>
  <c r="J287"/>
  <c r="B287"/>
  <c r="G286"/>
  <c r="L285"/>
  <c r="C285"/>
  <c r="F284"/>
  <c r="J283"/>
  <c r="M282"/>
  <c r="E282"/>
  <c r="J281"/>
  <c r="B281"/>
  <c r="G280"/>
  <c r="L279"/>
  <c r="D279"/>
  <c r="I278"/>
  <c r="A278"/>
  <c r="F277"/>
  <c r="K276"/>
  <c r="C276"/>
  <c r="H275"/>
  <c r="M274"/>
  <c r="E274"/>
  <c r="J273"/>
  <c r="B273"/>
  <c r="G272"/>
  <c r="L271"/>
  <c r="C271"/>
  <c r="E270"/>
  <c r="J269"/>
  <c r="A269"/>
  <c r="E268"/>
  <c r="J267"/>
  <c r="A267"/>
  <c r="E266"/>
  <c r="H265"/>
  <c r="M264"/>
  <c r="C264"/>
  <c r="H263"/>
  <c r="M262"/>
  <c r="M261"/>
  <c r="E261"/>
  <c r="J260"/>
  <c r="B260"/>
  <c r="G259"/>
  <c r="L258"/>
  <c r="D258"/>
  <c r="F257"/>
  <c r="K256"/>
  <c r="C256"/>
  <c r="H255"/>
  <c r="M254"/>
  <c r="D254"/>
  <c r="I253"/>
  <c r="A253"/>
  <c r="E252"/>
  <c r="J251"/>
  <c r="B251"/>
  <c r="E250"/>
  <c r="J249"/>
  <c r="A249"/>
  <c r="E248"/>
  <c r="J247"/>
  <c r="B247"/>
  <c r="G246"/>
  <c r="L245"/>
  <c r="D245"/>
  <c r="E244"/>
  <c r="J243"/>
  <c r="B243"/>
  <c r="G242"/>
  <c r="L241"/>
  <c r="D241"/>
  <c r="I240"/>
  <c r="A240"/>
  <c r="F239"/>
  <c r="K238"/>
  <c r="C238"/>
  <c r="H237"/>
  <c r="M236"/>
  <c r="E236"/>
  <c r="J235"/>
  <c r="B235"/>
  <c r="F234"/>
  <c r="G233"/>
  <c r="L232"/>
  <c r="M231"/>
  <c r="C231"/>
  <c r="D230"/>
  <c r="H229"/>
  <c r="M228"/>
  <c r="E228"/>
  <c r="J227"/>
  <c r="B227"/>
  <c r="G226"/>
  <c r="L225"/>
  <c r="B225"/>
  <c r="F224"/>
  <c r="K223"/>
  <c r="A223"/>
  <c r="D222"/>
  <c r="F221"/>
  <c r="K220"/>
  <c r="C220"/>
  <c r="H219"/>
  <c r="L218"/>
  <c r="D218"/>
  <c r="H217"/>
  <c r="L216"/>
  <c r="M215"/>
  <c r="E215"/>
  <c r="J214"/>
  <c r="B214"/>
  <c r="G213"/>
  <c r="L212"/>
  <c r="D212"/>
  <c r="H211"/>
  <c r="M210"/>
  <c r="E210"/>
  <c r="J209"/>
  <c r="A209"/>
  <c r="D208"/>
  <c r="E207"/>
  <c r="H206"/>
  <c r="L205"/>
  <c r="D205"/>
  <c r="E204"/>
  <c r="J203"/>
  <c r="B203"/>
  <c r="E202"/>
  <c r="J201"/>
  <c r="B201"/>
  <c r="G200"/>
  <c r="L199"/>
  <c r="B199"/>
  <c r="G198"/>
  <c r="L197"/>
  <c r="D197"/>
  <c r="F196"/>
  <c r="K195"/>
  <c r="C195"/>
  <c r="D194"/>
  <c r="F193"/>
  <c r="K192"/>
  <c r="C192"/>
  <c r="H191"/>
  <c r="M190"/>
  <c r="E190"/>
  <c r="I189"/>
  <c r="M188"/>
  <c r="A188"/>
  <c r="F187"/>
  <c r="K186"/>
  <c r="C186"/>
  <c r="E185"/>
  <c r="J184"/>
  <c r="B184"/>
  <c r="E183"/>
  <c r="J182"/>
  <c r="B182"/>
  <c r="G181"/>
  <c r="L180"/>
  <c r="D180"/>
  <c r="I179"/>
  <c r="A179"/>
  <c r="F178"/>
  <c r="K177"/>
  <c r="C177"/>
  <c r="H176"/>
  <c r="M175"/>
  <c r="E175"/>
  <c r="J174"/>
  <c r="B174"/>
  <c r="G173"/>
  <c r="L172"/>
  <c r="D172"/>
  <c r="I171"/>
  <c r="A171"/>
  <c r="E170"/>
  <c r="F169"/>
  <c r="K168"/>
  <c r="C168"/>
  <c r="H167"/>
  <c r="M166"/>
  <c r="C166"/>
  <c r="H165"/>
  <c r="M164"/>
  <c r="E186" i="3"/>
  <c r="F102"/>
  <c r="N83"/>
  <c r="J65"/>
  <c r="E47"/>
  <c r="A29"/>
  <c r="K10"/>
  <c r="M451" i="2"/>
  <c r="D400"/>
  <c r="C349"/>
  <c r="A311"/>
  <c r="L297"/>
  <c r="K284"/>
  <c r="I271"/>
  <c r="G258"/>
  <c r="F245"/>
  <c r="D232"/>
  <c r="B219"/>
  <c r="I213"/>
  <c r="J208"/>
  <c r="K203"/>
  <c r="L198"/>
  <c r="M193"/>
  <c r="A189"/>
  <c r="B184"/>
  <c r="C179"/>
  <c r="D174"/>
  <c r="E169"/>
  <c r="F164"/>
  <c r="G159"/>
  <c r="H154"/>
  <c r="I149"/>
  <c r="J144"/>
  <c r="K139"/>
  <c r="L134"/>
  <c r="M129"/>
  <c r="A125"/>
  <c r="B120"/>
  <c r="C115"/>
  <c r="I110"/>
  <c r="A106"/>
  <c r="G101"/>
  <c r="M96"/>
  <c r="E92"/>
  <c r="K87"/>
  <c r="C83"/>
  <c r="I78"/>
  <c r="A74"/>
  <c r="G69"/>
  <c r="M64"/>
  <c r="E60"/>
  <c r="K55"/>
  <c r="C51"/>
  <c r="I46"/>
  <c r="A42"/>
  <c r="G37"/>
  <c r="M32"/>
  <c r="E28"/>
  <c r="K23"/>
  <c r="C19"/>
  <c r="I14"/>
  <c r="A10"/>
  <c r="A619" i="1"/>
  <c r="C607"/>
  <c r="B600"/>
  <c r="D598"/>
  <c r="A597"/>
  <c r="C595"/>
  <c r="M593"/>
  <c r="B592"/>
  <c r="D590"/>
  <c r="A589"/>
  <c r="C587"/>
  <c r="M585"/>
  <c r="B584"/>
  <c r="D582"/>
  <c r="A581"/>
  <c r="C579"/>
  <c r="M577"/>
  <c r="B576"/>
  <c r="D574"/>
  <c r="A573"/>
  <c r="C571"/>
  <c r="M569"/>
  <c r="J568"/>
  <c r="A568"/>
  <c r="C566"/>
  <c r="M564"/>
  <c r="B563"/>
  <c r="D561"/>
  <c r="A560"/>
  <c r="C558"/>
  <c r="M556"/>
  <c r="B555"/>
  <c r="L553"/>
  <c r="D553"/>
  <c r="A552"/>
  <c r="C550"/>
  <c r="M548"/>
  <c r="B547"/>
  <c r="D545"/>
  <c r="A544"/>
  <c r="C542"/>
  <c r="M540"/>
  <c r="A540"/>
  <c r="C538"/>
  <c r="M536"/>
  <c r="B535"/>
  <c r="D533"/>
  <c r="A532"/>
  <c r="C530"/>
  <c r="M528"/>
  <c r="B527"/>
  <c r="D525"/>
  <c r="A524"/>
  <c r="C522"/>
  <c r="M520"/>
  <c r="B519"/>
  <c r="D517"/>
  <c r="A516"/>
  <c r="C514"/>
  <c r="M512"/>
  <c r="B511"/>
  <c r="D509"/>
  <c r="A508"/>
  <c r="C506"/>
  <c r="M504"/>
  <c r="B503"/>
  <c r="D501"/>
  <c r="A500"/>
  <c r="C498"/>
  <c r="M496"/>
  <c r="B495"/>
  <c r="D493"/>
  <c r="A492"/>
  <c r="C490"/>
  <c r="M488"/>
  <c r="B487"/>
  <c r="D485"/>
  <c r="A484"/>
  <c r="C482"/>
  <c r="M480"/>
  <c r="B479"/>
  <c r="D477"/>
  <c r="A476"/>
  <c r="C474"/>
  <c r="M472"/>
  <c r="B471"/>
  <c r="D469"/>
  <c r="A468"/>
  <c r="C466"/>
  <c r="M464"/>
  <c r="B463"/>
  <c r="D461"/>
  <c r="A460"/>
  <c r="C458"/>
  <c r="M456"/>
  <c r="B455"/>
  <c r="J453"/>
  <c r="M452"/>
  <c r="B451"/>
  <c r="D449"/>
  <c r="A448"/>
  <c r="C446"/>
  <c r="M444"/>
  <c r="B443"/>
  <c r="D441"/>
  <c r="A440"/>
  <c r="C438"/>
  <c r="M436"/>
  <c r="B435"/>
  <c r="D433"/>
  <c r="A432"/>
  <c r="C430"/>
  <c r="M428"/>
  <c r="B427"/>
  <c r="D425"/>
  <c r="A424"/>
  <c r="C422"/>
  <c r="M420"/>
  <c r="B419"/>
  <c r="D417"/>
  <c r="A416"/>
  <c r="C414"/>
  <c r="M412"/>
  <c r="B411"/>
  <c r="D409"/>
  <c r="A408"/>
  <c r="C406"/>
  <c r="M404"/>
  <c r="B403"/>
  <c r="D401"/>
  <c r="A400"/>
  <c r="C398"/>
  <c r="M396"/>
  <c r="B395"/>
  <c r="D393"/>
  <c r="A392"/>
  <c r="C390"/>
  <c r="M388"/>
  <c r="B387"/>
  <c r="D385"/>
  <c r="A384"/>
  <c r="C382"/>
  <c r="M380"/>
  <c r="B379"/>
  <c r="G378"/>
  <c r="D377"/>
  <c r="A376"/>
  <c r="C374"/>
  <c r="M372"/>
  <c r="B371"/>
  <c r="D369"/>
  <c r="A368"/>
  <c r="C366"/>
  <c r="M364"/>
  <c r="B363"/>
  <c r="D361"/>
  <c r="I360"/>
  <c r="A360"/>
  <c r="F359"/>
  <c r="K358"/>
  <c r="L357"/>
  <c r="D357"/>
  <c r="I356"/>
  <c r="A356"/>
  <c r="F355"/>
  <c r="K354"/>
  <c r="B354"/>
  <c r="D353"/>
  <c r="H352"/>
  <c r="M351"/>
  <c r="D351"/>
  <c r="I350"/>
  <c r="A350"/>
  <c r="A349"/>
  <c r="L347"/>
  <c r="D347"/>
  <c r="I346"/>
  <c r="A346"/>
  <c r="E345"/>
  <c r="J344"/>
  <c r="B344"/>
  <c r="F343"/>
  <c r="K342"/>
  <c r="C342"/>
  <c r="H341"/>
  <c r="M340"/>
  <c r="E340"/>
  <c r="J339"/>
  <c r="B339"/>
  <c r="M337"/>
  <c r="E337"/>
  <c r="J336"/>
  <c r="M335"/>
  <c r="E335"/>
  <c r="G334"/>
  <c r="L333"/>
  <c r="C333"/>
  <c r="H332"/>
  <c r="M331"/>
  <c r="E331"/>
  <c r="J330"/>
  <c r="B330"/>
  <c r="D329"/>
  <c r="I328"/>
  <c r="A328"/>
  <c r="F327"/>
  <c r="K326"/>
  <c r="C326"/>
  <c r="H325"/>
  <c r="M324"/>
  <c r="E324"/>
  <c r="J323"/>
  <c r="B323"/>
  <c r="G322"/>
  <c r="L321"/>
  <c r="D321"/>
  <c r="H320"/>
  <c r="J319"/>
  <c r="B319"/>
  <c r="C318"/>
  <c r="D317"/>
  <c r="H316"/>
  <c r="M315"/>
  <c r="M314"/>
  <c r="E314"/>
  <c r="J313"/>
  <c r="B313"/>
  <c r="G312"/>
  <c r="K311"/>
  <c r="C311"/>
  <c r="H310"/>
  <c r="M309"/>
  <c r="E309"/>
  <c r="J308"/>
  <c r="M307"/>
  <c r="E307"/>
  <c r="I306"/>
  <c r="A306"/>
  <c r="F305"/>
  <c r="K304"/>
  <c r="C304"/>
  <c r="H303"/>
  <c r="M302"/>
  <c r="A302"/>
  <c r="B301"/>
  <c r="F300"/>
  <c r="K299"/>
  <c r="B299"/>
  <c r="G298"/>
  <c r="L297"/>
  <c r="D297"/>
  <c r="I296"/>
  <c r="A296"/>
  <c r="F295"/>
  <c r="K294"/>
  <c r="H293"/>
  <c r="M292"/>
  <c r="E292"/>
  <c r="G291"/>
  <c r="L290"/>
  <c r="D290"/>
  <c r="I289"/>
  <c r="A289"/>
  <c r="F288"/>
  <c r="K287"/>
  <c r="C287"/>
  <c r="H286"/>
  <c r="M285"/>
  <c r="D285"/>
  <c r="G284"/>
  <c r="K283"/>
  <c r="A283"/>
  <c r="F282"/>
  <c r="K281"/>
  <c r="C281"/>
  <c r="H280"/>
  <c r="M279"/>
  <c r="E279"/>
  <c r="J278"/>
  <c r="B278"/>
  <c r="G277"/>
  <c r="L276"/>
  <c r="D276"/>
  <c r="I275"/>
  <c r="A275"/>
  <c r="F274"/>
  <c r="K273"/>
  <c r="C273"/>
  <c r="H272"/>
  <c r="M271"/>
  <c r="D271"/>
  <c r="F270"/>
  <c r="K269"/>
  <c r="B269"/>
  <c r="F268"/>
  <c r="K267"/>
  <c r="B267"/>
  <c r="F266"/>
  <c r="K265"/>
  <c r="A265"/>
  <c r="D264"/>
  <c r="I263"/>
  <c r="A263"/>
  <c r="A262"/>
  <c r="F261"/>
  <c r="K260"/>
  <c r="C260"/>
  <c r="H259"/>
  <c r="M258"/>
  <c r="E258"/>
  <c r="G257"/>
  <c r="L256"/>
  <c r="D256"/>
  <c r="I255"/>
  <c r="A255"/>
  <c r="E254"/>
  <c r="J253"/>
  <c r="B253"/>
  <c r="G252"/>
  <c r="K251"/>
  <c r="C251"/>
  <c r="F250"/>
  <c r="K249"/>
  <c r="B249"/>
  <c r="F248"/>
  <c r="K247"/>
  <c r="C247"/>
  <c r="H246"/>
  <c r="M245"/>
  <c r="E245"/>
  <c r="I244"/>
  <c r="K243"/>
  <c r="C243"/>
  <c r="H242"/>
  <c r="M241"/>
  <c r="E241"/>
  <c r="J240"/>
  <c r="B240"/>
  <c r="G239"/>
  <c r="L238"/>
  <c r="D238"/>
  <c r="I237"/>
  <c r="A237"/>
  <c r="F236"/>
  <c r="K235"/>
  <c r="C235"/>
  <c r="G234"/>
  <c r="L233"/>
  <c r="M232"/>
  <c r="A232"/>
  <c r="D231"/>
  <c r="E230"/>
  <c r="I229"/>
  <c r="A229"/>
  <c r="F228"/>
  <c r="K227"/>
  <c r="C227"/>
  <c r="H226"/>
  <c r="M225"/>
  <c r="C225"/>
  <c r="G224"/>
  <c r="L223"/>
  <c r="B223"/>
  <c r="E222"/>
  <c r="G221"/>
  <c r="L220"/>
  <c r="D220"/>
  <c r="I219"/>
  <c r="M218"/>
  <c r="E218"/>
  <c r="I217"/>
  <c r="M216"/>
  <c r="A216"/>
  <c r="F215"/>
  <c r="K214"/>
  <c r="C214"/>
  <c r="H213"/>
  <c r="M212"/>
  <c r="E212"/>
  <c r="J211"/>
  <c r="A211"/>
  <c r="F210"/>
  <c r="K209"/>
  <c r="B209"/>
  <c r="E208"/>
  <c r="F207"/>
  <c r="J206"/>
  <c r="M205"/>
  <c r="E205"/>
  <c r="F204"/>
  <c r="K203"/>
  <c r="C203"/>
  <c r="G202"/>
  <c r="K201"/>
  <c r="C201"/>
  <c r="H200"/>
  <c r="M199"/>
  <c r="C199"/>
  <c r="H198"/>
  <c r="M197"/>
  <c r="E197"/>
  <c r="G196"/>
  <c r="L195"/>
  <c r="D195"/>
  <c r="F194"/>
  <c r="G193"/>
  <c r="L192"/>
  <c r="D192"/>
  <c r="I191"/>
  <c r="A191"/>
  <c r="F190"/>
  <c r="J189"/>
  <c r="A189"/>
  <c r="B188"/>
  <c r="G187"/>
  <c r="L186"/>
  <c r="D186"/>
  <c r="F185"/>
  <c r="K184"/>
  <c r="C184"/>
  <c r="F183"/>
  <c r="K182"/>
  <c r="C182"/>
  <c r="H181"/>
  <c r="M180"/>
  <c r="E180"/>
  <c r="J179"/>
  <c r="B179"/>
  <c r="G178"/>
  <c r="L177"/>
  <c r="D177"/>
  <c r="I176"/>
  <c r="A176"/>
  <c r="F175"/>
  <c r="K174"/>
  <c r="C174"/>
  <c r="H173"/>
  <c r="M172"/>
  <c r="E172"/>
  <c r="J171"/>
  <c r="B171"/>
  <c r="G170"/>
  <c r="I169"/>
  <c r="L168"/>
  <c r="D168"/>
  <c r="I167"/>
  <c r="A167"/>
  <c r="D166"/>
  <c r="I165"/>
  <c r="A165"/>
  <c r="F164"/>
  <c r="K163"/>
  <c r="B163"/>
  <c r="D162"/>
  <c r="G161"/>
  <c r="L160"/>
  <c r="D160"/>
  <c r="I159"/>
  <c r="A159"/>
  <c r="F158"/>
  <c r="K157"/>
  <c r="C157"/>
  <c r="G156"/>
  <c r="K155"/>
  <c r="C155"/>
  <c r="H154"/>
  <c r="M153"/>
  <c r="D153"/>
  <c r="F152"/>
  <c r="K151"/>
  <c r="C151"/>
  <c r="H150"/>
  <c r="M149"/>
  <c r="D149"/>
  <c r="I148"/>
  <c r="A148"/>
  <c r="F147"/>
  <c r="J146"/>
  <c r="A146"/>
  <c r="F145"/>
  <c r="K144"/>
  <c r="C144"/>
  <c r="H143"/>
  <c r="M142"/>
  <c r="E142"/>
  <c r="J141"/>
  <c r="B141"/>
  <c r="D140"/>
  <c r="I139"/>
  <c r="A139"/>
  <c r="F138"/>
  <c r="K137"/>
  <c r="B137"/>
  <c r="G136"/>
  <c r="L135"/>
  <c r="B135"/>
  <c r="E134"/>
  <c r="J133"/>
  <c r="B133"/>
  <c r="H132"/>
  <c r="M131"/>
  <c r="E131"/>
  <c r="K130"/>
  <c r="M129"/>
  <c r="C129"/>
  <c r="I128"/>
  <c r="N127"/>
  <c r="F127"/>
  <c r="L126"/>
  <c r="D126"/>
  <c r="J125"/>
  <c r="B125"/>
  <c r="H124"/>
  <c r="N123"/>
  <c r="D123"/>
  <c r="J122"/>
  <c r="H88" i="3"/>
  <c r="M35"/>
  <c r="B458" i="2"/>
  <c r="E314"/>
  <c r="H276"/>
  <c r="A247"/>
  <c r="L214"/>
  <c r="J200"/>
  <c r="I189"/>
  <c r="G175"/>
  <c r="E161"/>
  <c r="D150"/>
  <c r="B136"/>
  <c r="M121"/>
  <c r="C111"/>
  <c r="A98"/>
  <c r="M84"/>
  <c r="I74"/>
  <c r="G61"/>
  <c r="E48"/>
  <c r="A38"/>
  <c r="M24"/>
  <c r="K11"/>
  <c r="M607" i="1"/>
  <c r="C597"/>
  <c r="M592"/>
  <c r="B589"/>
  <c r="D584"/>
  <c r="A580"/>
  <c r="C576"/>
  <c r="M571"/>
  <c r="D568"/>
  <c r="A565"/>
  <c r="C560"/>
  <c r="M555"/>
  <c r="E553"/>
  <c r="B549"/>
  <c r="D544"/>
  <c r="A541"/>
  <c r="B537"/>
  <c r="D532"/>
  <c r="A529"/>
  <c r="C524"/>
  <c r="M519"/>
  <c r="B516"/>
  <c r="D511"/>
  <c r="A507"/>
  <c r="C503"/>
  <c r="M498"/>
  <c r="B494"/>
  <c r="D490"/>
  <c r="A486"/>
  <c r="C481"/>
  <c r="M477"/>
  <c r="B473"/>
  <c r="D468"/>
  <c r="A465"/>
  <c r="C460"/>
  <c r="M455"/>
  <c r="A453"/>
  <c r="C448"/>
  <c r="M443"/>
  <c r="B440"/>
  <c r="D435"/>
  <c r="A431"/>
  <c r="C427"/>
  <c r="M422"/>
  <c r="B418"/>
  <c r="D414"/>
  <c r="A410"/>
  <c r="C405"/>
  <c r="M401"/>
  <c r="B397"/>
  <c r="D392"/>
  <c r="A389"/>
  <c r="C384"/>
  <c r="M379"/>
  <c r="M377"/>
  <c r="B373"/>
  <c r="D368"/>
  <c r="A365"/>
  <c r="K360"/>
  <c r="A359"/>
  <c r="E357"/>
  <c r="H355"/>
  <c r="H353"/>
  <c r="A352"/>
  <c r="C350"/>
  <c r="G347"/>
  <c r="B346"/>
  <c r="D344"/>
  <c r="F342"/>
  <c r="A341"/>
  <c r="D339"/>
  <c r="M336"/>
  <c r="F335"/>
  <c r="E333"/>
  <c r="H331"/>
  <c r="C330"/>
  <c r="C328"/>
  <c r="F326"/>
  <c r="A325"/>
  <c r="D323"/>
  <c r="G321"/>
  <c r="L319"/>
  <c r="G317"/>
  <c r="C315"/>
  <c r="K313"/>
  <c r="M311"/>
  <c r="C310"/>
  <c r="K308"/>
  <c r="L306"/>
  <c r="A305"/>
  <c r="I303"/>
  <c r="D301"/>
  <c r="E299"/>
  <c r="M297"/>
  <c r="C296"/>
  <c r="B294"/>
  <c r="F292"/>
  <c r="F290"/>
  <c r="I288"/>
  <c r="D287"/>
  <c r="F285"/>
  <c r="D283"/>
  <c r="L281"/>
  <c r="B280"/>
  <c r="E278"/>
  <c r="M276"/>
  <c r="C275"/>
  <c r="F273"/>
  <c r="A272"/>
  <c r="M269"/>
  <c r="A268"/>
  <c r="G266"/>
  <c r="F264"/>
  <c r="D262"/>
  <c r="L260"/>
  <c r="B259"/>
  <c r="B257"/>
  <c r="J255"/>
  <c r="L253"/>
  <c r="A252"/>
  <c r="G250"/>
  <c r="H248"/>
  <c r="K246"/>
  <c r="F245"/>
  <c r="E243"/>
  <c r="H241"/>
  <c r="C240"/>
  <c r="F238"/>
  <c r="I236"/>
  <c r="D235"/>
  <c r="B233"/>
  <c r="L230"/>
  <c r="B229"/>
  <c r="E227"/>
  <c r="F225"/>
  <c r="M223"/>
  <c r="L221"/>
  <c r="L219"/>
  <c r="F218"/>
  <c r="C216"/>
  <c r="F214"/>
  <c r="A213"/>
  <c r="C211"/>
  <c r="E209"/>
  <c r="G207"/>
  <c r="G205"/>
  <c r="F203"/>
  <c r="L201"/>
  <c r="B200"/>
  <c r="C198"/>
  <c r="K196"/>
  <c r="J194"/>
  <c r="G192"/>
  <c r="B191"/>
  <c r="C189"/>
  <c r="H187"/>
  <c r="E186"/>
  <c r="L184"/>
  <c r="G183"/>
  <c r="D182"/>
  <c r="A181"/>
  <c r="K179"/>
  <c r="I178"/>
  <c r="H177"/>
  <c r="J176"/>
  <c r="I175"/>
  <c r="I174"/>
  <c r="J173"/>
  <c r="I172"/>
  <c r="K171"/>
  <c r="J170"/>
  <c r="E169"/>
  <c r="F168"/>
  <c r="E167"/>
  <c r="E166"/>
  <c r="D165"/>
  <c r="E164"/>
  <c r="F163"/>
  <c r="F162"/>
  <c r="F161"/>
  <c r="H160"/>
  <c r="K159"/>
  <c r="M158"/>
  <c r="B158"/>
  <c r="E157"/>
  <c r="E156"/>
  <c r="G155"/>
  <c r="J154"/>
  <c r="L153"/>
  <c r="M152"/>
  <c r="M151"/>
  <c r="B151"/>
  <c r="D150"/>
  <c r="G149"/>
  <c r="H148"/>
  <c r="J147"/>
  <c r="M146"/>
  <c r="M145"/>
  <c r="B145"/>
  <c r="E144"/>
  <c r="G143"/>
  <c r="I142"/>
  <c r="L141"/>
  <c r="A141"/>
  <c r="M139"/>
  <c r="C139"/>
  <c r="E138"/>
  <c r="G137"/>
  <c r="I136"/>
  <c r="K135"/>
  <c r="J134"/>
  <c r="L133"/>
  <c r="A133"/>
  <c r="C132"/>
  <c r="G131"/>
  <c r="G130"/>
  <c r="G129"/>
  <c r="K128"/>
  <c r="M127"/>
  <c r="B127"/>
  <c r="F126"/>
  <c r="I125"/>
  <c r="L124"/>
  <c r="B124"/>
  <c r="C123"/>
  <c r="F122"/>
  <c r="K121"/>
  <c r="A121"/>
  <c r="F120"/>
  <c r="K119"/>
  <c r="B119"/>
  <c r="G118"/>
  <c r="K117"/>
  <c r="B117"/>
  <c r="F116"/>
  <c r="K115"/>
  <c r="B115"/>
  <c r="G114"/>
  <c r="L113"/>
  <c r="B113"/>
  <c r="G112"/>
  <c r="L111"/>
  <c r="B111"/>
  <c r="H110"/>
  <c r="N109"/>
  <c r="F109"/>
  <c r="L108"/>
  <c r="D108"/>
  <c r="J107"/>
  <c r="B107"/>
  <c r="D106"/>
  <c r="J105"/>
  <c r="B105"/>
  <c r="H104"/>
  <c r="N103"/>
  <c r="F103"/>
  <c r="L102"/>
  <c r="B102"/>
  <c r="H101"/>
  <c r="N100"/>
  <c r="F100"/>
  <c r="L99"/>
  <c r="D99"/>
  <c r="J98"/>
  <c r="B98"/>
  <c r="E97"/>
  <c r="K96"/>
  <c r="C96"/>
  <c r="I95"/>
  <c r="A95"/>
  <c r="G94"/>
  <c r="M93"/>
  <c r="E93"/>
  <c r="K92"/>
  <c r="C92"/>
  <c r="I91"/>
  <c r="A91"/>
  <c r="G90"/>
  <c r="M89"/>
  <c r="B89"/>
  <c r="F88"/>
  <c r="L87"/>
  <c r="D87"/>
  <c r="J86"/>
  <c r="B86"/>
  <c r="H85"/>
  <c r="N84"/>
  <c r="F84"/>
  <c r="L83"/>
  <c r="D83"/>
  <c r="J82"/>
  <c r="B82"/>
  <c r="H81"/>
  <c r="N80"/>
  <c r="F80"/>
  <c r="L79"/>
  <c r="C79"/>
  <c r="I78"/>
  <c r="A78"/>
  <c r="G77"/>
  <c r="M76"/>
  <c r="E76"/>
  <c r="K75"/>
  <c r="C75"/>
  <c r="I74"/>
  <c r="A74"/>
  <c r="G73"/>
  <c r="M72"/>
  <c r="D72"/>
  <c r="J71"/>
  <c r="B71"/>
  <c r="H70"/>
  <c r="N69"/>
  <c r="F69"/>
  <c r="L68"/>
  <c r="D68"/>
  <c r="J67"/>
  <c r="B67"/>
  <c r="H66"/>
  <c r="N65"/>
  <c r="F65"/>
  <c r="L64"/>
  <c r="D64"/>
  <c r="J63"/>
  <c r="B63"/>
  <c r="H62"/>
  <c r="M61"/>
  <c r="E61"/>
  <c r="K60"/>
  <c r="C60"/>
  <c r="I59"/>
  <c r="A59"/>
  <c r="E58"/>
  <c r="J57"/>
  <c r="A57"/>
  <c r="G56"/>
  <c r="M55"/>
  <c r="E55"/>
  <c r="K54"/>
  <c r="C54"/>
  <c r="I53"/>
  <c r="A53"/>
  <c r="G52"/>
  <c r="L51"/>
  <c r="D51"/>
  <c r="J50"/>
  <c r="B50"/>
  <c r="H49"/>
  <c r="N48"/>
  <c r="E48"/>
  <c r="K47"/>
  <c r="B47"/>
  <c r="H46"/>
  <c r="N45"/>
  <c r="F45"/>
  <c r="L44"/>
  <c r="B44"/>
  <c r="H43"/>
  <c r="N42"/>
  <c r="F42"/>
  <c r="L41"/>
  <c r="D41"/>
  <c r="J40"/>
  <c r="B40"/>
  <c r="G39"/>
  <c r="M38"/>
  <c r="E38"/>
  <c r="K37"/>
  <c r="C37"/>
  <c r="I36"/>
  <c r="A36"/>
  <c r="F35"/>
  <c r="L34"/>
  <c r="D34"/>
  <c r="J33"/>
  <c r="B33"/>
  <c r="G32"/>
  <c r="L31"/>
  <c r="D31"/>
  <c r="J30"/>
  <c r="B30"/>
  <c r="G29"/>
  <c r="M28"/>
  <c r="E28"/>
  <c r="K27"/>
  <c r="C27"/>
  <c r="G26"/>
  <c r="M25"/>
  <c r="E25"/>
  <c r="K24"/>
  <c r="B24"/>
  <c r="H23"/>
  <c r="N22"/>
  <c r="F22"/>
  <c r="L21"/>
  <c r="C21"/>
  <c r="I20"/>
  <c r="A20"/>
  <c r="G19"/>
  <c r="M18"/>
  <c r="E18"/>
  <c r="K17"/>
  <c r="C17"/>
  <c r="I16"/>
  <c r="A16"/>
  <c r="G15"/>
  <c r="M14"/>
  <c r="D14"/>
  <c r="J13"/>
  <c r="B13"/>
  <c r="H12"/>
  <c r="N11"/>
  <c r="E11"/>
  <c r="K10"/>
  <c r="B10"/>
  <c r="H9"/>
  <c r="N8"/>
  <c r="F8"/>
  <c r="L7"/>
  <c r="D7"/>
  <c r="I6"/>
  <c r="A5"/>
  <c r="C301" i="2"/>
  <c r="F263"/>
  <c r="M209"/>
  <c r="J184"/>
  <c r="F156"/>
  <c r="C131"/>
  <c r="I106"/>
  <c r="E80"/>
  <c r="M56"/>
  <c r="G33"/>
  <c r="C7"/>
  <c r="M595" i="1"/>
  <c r="D587"/>
  <c r="C578"/>
  <c r="B570"/>
  <c r="C563"/>
  <c r="B554"/>
  <c r="D547"/>
  <c r="B540"/>
  <c r="A531"/>
  <c r="M522"/>
  <c r="D514"/>
  <c r="C505"/>
  <c r="B497"/>
  <c r="A489"/>
  <c r="M479"/>
  <c r="D471"/>
  <c r="C463"/>
  <c r="B454"/>
  <c r="M446"/>
  <c r="D438"/>
  <c r="C429"/>
  <c r="B421"/>
  <c r="B400"/>
  <c r="A391"/>
  <c r="M382"/>
  <c r="B376"/>
  <c r="A367"/>
  <c r="C360"/>
  <c r="J356"/>
  <c r="L352"/>
  <c r="C349"/>
  <c r="G345"/>
  <c r="K341"/>
  <c r="B338"/>
  <c r="J334"/>
  <c r="M330"/>
  <c r="H327"/>
  <c r="F324"/>
  <c r="L320"/>
  <c r="J316"/>
  <c r="C313"/>
  <c r="H309"/>
  <c r="C306"/>
  <c r="H300"/>
  <c r="C293"/>
  <c r="K289"/>
  <c r="I286"/>
  <c r="I282"/>
  <c r="G279"/>
  <c r="E276"/>
  <c r="K272"/>
  <c r="D269"/>
  <c r="L265"/>
  <c r="I261"/>
  <c r="G258"/>
  <c r="B255"/>
  <c r="F251"/>
  <c r="M247"/>
  <c r="J244"/>
  <c r="M240"/>
  <c r="K237"/>
  <c r="C232"/>
  <c r="K224"/>
  <c r="A221"/>
  <c r="K217"/>
  <c r="K213"/>
  <c r="H210"/>
  <c r="L206"/>
  <c r="J202"/>
  <c r="E199"/>
  <c r="M195"/>
  <c r="L191"/>
  <c r="D188"/>
  <c r="K185"/>
  <c r="M182"/>
  <c r="G180"/>
  <c r="C178"/>
  <c r="E174"/>
  <c r="E171"/>
  <c r="A169"/>
  <c r="B167"/>
  <c r="L164"/>
  <c r="C163"/>
  <c r="B161"/>
  <c r="G159"/>
  <c r="L157"/>
  <c r="A156"/>
  <c r="F154"/>
  <c r="I152"/>
  <c r="K150"/>
  <c r="B149"/>
  <c r="I145"/>
  <c r="C143"/>
  <c r="H141"/>
  <c r="J139"/>
  <c r="A138"/>
  <c r="E136"/>
  <c r="F134"/>
  <c r="K132"/>
  <c r="C131"/>
  <c r="F128"/>
  <c r="B126"/>
  <c r="I124"/>
  <c r="M122"/>
  <c r="G121"/>
  <c r="C120"/>
  <c r="L118"/>
  <c r="H117"/>
  <c r="H115"/>
  <c r="H113"/>
  <c r="D112"/>
  <c r="M110"/>
  <c r="K109"/>
  <c r="A108"/>
  <c r="G105"/>
  <c r="E104"/>
  <c r="H102"/>
  <c r="K100"/>
  <c r="I99"/>
  <c r="M97"/>
  <c r="N95"/>
  <c r="D94"/>
  <c r="N91"/>
  <c r="L90"/>
  <c r="C88"/>
  <c r="G86"/>
  <c r="K84"/>
  <c r="G82"/>
  <c r="K80"/>
  <c r="F78"/>
  <c r="B76"/>
  <c r="L73"/>
  <c r="G71"/>
  <c r="I68"/>
  <c r="K65"/>
  <c r="M62"/>
  <c r="H60"/>
  <c r="L58"/>
  <c r="J55"/>
  <c r="F53"/>
  <c r="A51"/>
  <c r="K48"/>
  <c r="K45"/>
  <c r="M43"/>
  <c r="A41"/>
  <c r="H37"/>
  <c r="L35"/>
  <c r="M32"/>
  <c r="M29"/>
  <c r="J25"/>
  <c r="C22"/>
  <c r="D19"/>
  <c r="F16"/>
  <c r="G13"/>
  <c r="G10"/>
  <c r="C8"/>
  <c r="M347" i="3"/>
  <c r="H235" i="2"/>
  <c r="B160"/>
  <c r="C107"/>
  <c r="G57"/>
  <c r="I10"/>
  <c r="C592" i="1"/>
  <c r="B568"/>
  <c r="C540"/>
  <c r="M514"/>
  <c r="B489"/>
  <c r="A459"/>
  <c r="C421"/>
  <c r="C379"/>
  <c r="A355"/>
  <c r="G340"/>
  <c r="I327"/>
  <c r="A315"/>
  <c r="L304"/>
  <c r="L291"/>
  <c r="L284"/>
  <c r="C278"/>
  <c r="F271"/>
  <c r="M265"/>
  <c r="H258"/>
  <c r="L251"/>
  <c r="L244"/>
  <c r="G236"/>
  <c r="H228"/>
  <c r="J219"/>
  <c r="D214"/>
  <c r="C209"/>
  <c r="D203"/>
  <c r="A198"/>
  <c r="H190"/>
  <c r="F184"/>
  <c r="E179"/>
  <c r="G175"/>
  <c r="F171"/>
  <c r="C167"/>
  <c r="C162"/>
  <c r="M157"/>
  <c r="H153"/>
  <c r="B150"/>
  <c r="J145"/>
  <c r="G142"/>
  <c r="B138"/>
  <c r="L132"/>
  <c r="E129"/>
  <c r="C126"/>
  <c r="N122"/>
  <c r="D120"/>
  <c r="D116"/>
  <c r="D114"/>
  <c r="H111"/>
  <c r="L109"/>
  <c r="N106"/>
  <c r="F104"/>
  <c r="F101"/>
  <c r="H98"/>
  <c r="A96"/>
  <c r="K93"/>
  <c r="E90"/>
  <c r="J87"/>
  <c r="F85"/>
  <c r="B83"/>
  <c r="J79"/>
  <c r="K76"/>
  <c r="J72"/>
  <c r="B68"/>
  <c r="L65"/>
  <c r="E62"/>
  <c r="M58"/>
  <c r="I54"/>
  <c r="J51"/>
  <c r="C48"/>
  <c r="J44"/>
  <c r="H40"/>
  <c r="G36"/>
  <c r="N32"/>
  <c r="E29"/>
  <c r="C25"/>
  <c r="I21"/>
  <c r="M19"/>
  <c r="M15"/>
  <c r="N12"/>
  <c r="L8"/>
  <c r="I33" i="3"/>
  <c r="D214" i="2"/>
  <c r="L174"/>
  <c r="H146"/>
  <c r="E121"/>
  <c r="G97"/>
  <c r="C71"/>
  <c r="K47"/>
  <c r="E24"/>
  <c r="C601" i="1"/>
  <c r="D592"/>
  <c r="M579"/>
  <c r="C568"/>
  <c r="B560"/>
  <c r="D552"/>
  <c r="C544"/>
  <c r="A537"/>
  <c r="B524"/>
  <c r="C511"/>
  <c r="B502"/>
  <c r="A494"/>
  <c r="M485"/>
  <c r="D476"/>
  <c r="M463"/>
  <c r="M451"/>
  <c r="D443"/>
  <c r="M430"/>
  <c r="A418"/>
  <c r="B405"/>
  <c r="C392"/>
  <c r="B384"/>
  <c r="D376"/>
  <c r="M363"/>
  <c r="L356"/>
  <c r="F353"/>
  <c r="B350"/>
  <c r="C344"/>
  <c r="C339"/>
  <c r="M334"/>
  <c r="J329"/>
  <c r="H324"/>
  <c r="E319"/>
  <c r="L311"/>
  <c r="C308"/>
  <c r="C303"/>
  <c r="G297"/>
  <c r="M291"/>
  <c r="K286"/>
  <c r="F281"/>
  <c r="G276"/>
  <c r="G271"/>
  <c r="E264"/>
  <c r="A259"/>
  <c r="M251"/>
  <c r="J246"/>
  <c r="E238"/>
  <c r="K230"/>
  <c r="E225"/>
  <c r="K219"/>
  <c r="B211"/>
  <c r="E203"/>
  <c r="B196"/>
  <c r="I190"/>
  <c r="I184"/>
  <c r="H179"/>
  <c r="G174"/>
  <c r="I170"/>
  <c r="D167"/>
  <c r="E162"/>
  <c r="L158"/>
  <c r="F155"/>
  <c r="A151"/>
  <c r="L146"/>
  <c r="H142"/>
  <c r="L139"/>
  <c r="H136"/>
  <c r="F131"/>
  <c r="E126"/>
  <c r="J121"/>
  <c r="A119"/>
  <c r="J115"/>
  <c r="F112"/>
  <c r="M109"/>
  <c r="A107"/>
  <c r="M103"/>
  <c r="E100"/>
  <c r="D97"/>
  <c r="F94"/>
  <c r="F90"/>
  <c r="I86"/>
  <c r="C83"/>
  <c r="K79"/>
  <c r="B75"/>
  <c r="A71"/>
  <c r="G66"/>
  <c r="L61"/>
  <c r="H59"/>
  <c r="L55"/>
  <c r="H53"/>
  <c r="C51"/>
  <c r="D48"/>
  <c r="K44"/>
  <c r="E42"/>
  <c r="F39"/>
  <c r="B37"/>
  <c r="K34"/>
  <c r="C31"/>
  <c r="L28"/>
  <c r="F26"/>
  <c r="G23"/>
  <c r="H20"/>
  <c r="L18"/>
  <c r="J17"/>
  <c r="N15"/>
  <c r="I13"/>
  <c r="M11"/>
  <c r="E8"/>
  <c r="L90" i="3"/>
  <c r="J49"/>
  <c r="D464" i="2"/>
  <c r="C317"/>
  <c r="F286"/>
  <c r="I248"/>
  <c r="G215"/>
  <c r="F204"/>
  <c r="D190"/>
  <c r="B176"/>
  <c r="A165"/>
  <c r="L150"/>
  <c r="J136"/>
  <c r="I125"/>
  <c r="K111"/>
  <c r="I98"/>
  <c r="E88"/>
  <c r="C75"/>
  <c r="A62"/>
  <c r="K51"/>
  <c r="I38"/>
  <c r="G25"/>
  <c r="C15"/>
  <c r="C609" i="1"/>
  <c r="D597"/>
  <c r="A594"/>
  <c r="C589"/>
  <c r="M584"/>
  <c r="B581"/>
  <c r="D576"/>
  <c r="A572"/>
  <c r="K568"/>
  <c r="B565"/>
  <c r="D560"/>
  <c r="A557"/>
  <c r="F553"/>
  <c r="C549"/>
  <c r="M545"/>
  <c r="B541"/>
  <c r="C537"/>
  <c r="M533"/>
  <c r="B529"/>
  <c r="D524"/>
  <c r="A521"/>
  <c r="C516"/>
  <c r="M511"/>
  <c r="B508"/>
  <c r="D503"/>
  <c r="A499"/>
  <c r="C495"/>
  <c r="M490"/>
  <c r="B486"/>
  <c r="D482"/>
  <c r="A478"/>
  <c r="C473"/>
  <c r="M469"/>
  <c r="B465"/>
  <c r="D460"/>
  <c r="A457"/>
  <c r="B453"/>
  <c r="D448"/>
  <c r="A445"/>
  <c r="C440"/>
  <c r="M435"/>
  <c r="B432"/>
  <c r="D427"/>
  <c r="A423"/>
  <c r="C419"/>
  <c r="M414"/>
  <c r="B410"/>
  <c r="D406"/>
  <c r="A402"/>
  <c r="C397"/>
  <c r="M393"/>
  <c r="B389"/>
  <c r="D384"/>
  <c r="A381"/>
  <c r="A378"/>
  <c r="C373"/>
  <c r="M369"/>
  <c r="B365"/>
  <c r="L360"/>
  <c r="G359"/>
  <c r="F357"/>
  <c r="I355"/>
  <c r="C354"/>
  <c r="B352"/>
  <c r="D350"/>
  <c r="M347"/>
  <c r="C346"/>
  <c r="E344"/>
  <c r="L342"/>
  <c r="B341"/>
  <c r="E339"/>
  <c r="F337"/>
  <c r="G335"/>
  <c r="G333"/>
  <c r="A332"/>
  <c r="D330"/>
  <c r="D328"/>
  <c r="L326"/>
  <c r="B325"/>
  <c r="E323"/>
  <c r="M321"/>
  <c r="M319"/>
  <c r="H317"/>
  <c r="A316"/>
  <c r="L313"/>
  <c r="A312"/>
  <c r="I310"/>
  <c r="L308"/>
  <c r="M306"/>
  <c r="G305"/>
  <c r="J303"/>
  <c r="E301"/>
  <c r="L299"/>
  <c r="A298"/>
  <c r="D296"/>
  <c r="L294"/>
  <c r="G292"/>
  <c r="G290"/>
  <c r="B289"/>
  <c r="E287"/>
  <c r="G285"/>
  <c r="L283"/>
  <c r="M281"/>
  <c r="C280"/>
  <c r="K278"/>
  <c r="A277"/>
  <c r="D275"/>
  <c r="L273"/>
  <c r="B272"/>
  <c r="A270"/>
  <c r="G268"/>
  <c r="H266"/>
  <c r="G264"/>
  <c r="B263"/>
  <c r="M260"/>
  <c r="C259"/>
  <c r="I257"/>
  <c r="K255"/>
  <c r="M253"/>
  <c r="H252"/>
  <c r="H250"/>
  <c r="J248"/>
  <c r="D247"/>
  <c r="G245"/>
  <c r="F243"/>
  <c r="A242"/>
  <c r="D240"/>
  <c r="G238"/>
  <c r="B237"/>
  <c r="E235"/>
  <c r="C233"/>
  <c r="E231"/>
  <c r="C229"/>
  <c r="F227"/>
  <c r="A226"/>
  <c r="A224"/>
  <c r="M221"/>
  <c r="E220"/>
  <c r="G218"/>
  <c r="D216"/>
  <c r="L214"/>
  <c r="B213"/>
  <c r="D211"/>
  <c r="L209"/>
  <c r="L207"/>
  <c r="H205"/>
  <c r="L203"/>
  <c r="M201"/>
  <c r="C200"/>
  <c r="I198"/>
  <c r="L196"/>
  <c r="L194"/>
  <c r="M192"/>
  <c r="C191"/>
  <c r="D189"/>
  <c r="I187"/>
  <c r="F186"/>
  <c r="M184"/>
  <c r="H183"/>
  <c r="E182"/>
  <c r="B181"/>
  <c r="L179"/>
  <c r="J178"/>
  <c r="J177"/>
  <c r="K176"/>
  <c r="J175"/>
  <c r="L174"/>
  <c r="K173"/>
  <c r="K172"/>
  <c r="L171"/>
  <c r="K170"/>
  <c r="J169"/>
  <c r="G168"/>
  <c r="G167"/>
  <c r="F166"/>
  <c r="E165"/>
  <c r="G164"/>
  <c r="H163"/>
  <c r="G162"/>
  <c r="H161"/>
  <c r="J160"/>
  <c r="L159"/>
  <c r="B159"/>
  <c r="D158"/>
  <c r="F157"/>
  <c r="H156"/>
  <c r="I155"/>
  <c r="K154"/>
  <c r="A154"/>
  <c r="B153"/>
  <c r="A152"/>
  <c r="D151"/>
  <c r="F150"/>
  <c r="H149"/>
  <c r="J148"/>
  <c r="L147"/>
  <c r="A147"/>
  <c r="B146"/>
  <c r="D145"/>
  <c r="F144"/>
  <c r="I143"/>
  <c r="K142"/>
  <c r="M141"/>
  <c r="C141"/>
  <c r="B140"/>
  <c r="D139"/>
  <c r="G138"/>
  <c r="I137"/>
  <c r="J136"/>
  <c r="M135"/>
  <c r="M134"/>
  <c r="M133"/>
  <c r="C133"/>
  <c r="E132"/>
  <c r="H131"/>
  <c r="L130"/>
  <c r="K129"/>
  <c r="L128"/>
  <c r="A128"/>
  <c r="D127"/>
  <c r="G126"/>
  <c r="K125"/>
  <c r="N124"/>
  <c r="C124"/>
  <c r="E123"/>
  <c r="H122"/>
  <c r="L121"/>
  <c r="B121"/>
  <c r="G120"/>
  <c r="L119"/>
  <c r="C119"/>
  <c r="H118"/>
  <c r="M117"/>
  <c r="C117"/>
  <c r="H116"/>
  <c r="L115"/>
  <c r="C115"/>
  <c r="H114"/>
  <c r="M113"/>
  <c r="D113"/>
  <c r="H112"/>
  <c r="M111"/>
  <c r="C111"/>
  <c r="I110"/>
  <c r="A110"/>
  <c r="G109"/>
  <c r="M108"/>
  <c r="E108"/>
  <c r="K107"/>
  <c r="C107"/>
  <c r="E106"/>
  <c r="K105"/>
  <c r="C105"/>
  <c r="I104"/>
  <c r="A104"/>
  <c r="G103"/>
  <c r="M102"/>
  <c r="C102"/>
  <c r="I101"/>
  <c r="A101"/>
  <c r="G100"/>
  <c r="M99"/>
  <c r="E99"/>
  <c r="K98"/>
  <c r="C98"/>
  <c r="F97"/>
  <c r="L96"/>
  <c r="D96"/>
  <c r="J95"/>
  <c r="B95"/>
  <c r="H94"/>
  <c r="N93"/>
  <c r="F93"/>
  <c r="L92"/>
  <c r="D92"/>
  <c r="J91"/>
  <c r="B91"/>
  <c r="H90"/>
  <c r="N89"/>
  <c r="C89"/>
  <c r="G88"/>
  <c r="M87"/>
  <c r="E87"/>
  <c r="K86"/>
  <c r="C86"/>
  <c r="I85"/>
  <c r="A85"/>
  <c r="G84"/>
  <c r="M83"/>
  <c r="E83"/>
  <c r="K82"/>
  <c r="C82"/>
  <c r="I81"/>
  <c r="A81"/>
  <c r="G80"/>
  <c r="M79"/>
  <c r="D79"/>
  <c r="J78"/>
  <c r="B78"/>
  <c r="H77"/>
  <c r="N76"/>
  <c r="F76"/>
  <c r="L75"/>
  <c r="D75"/>
  <c r="J74"/>
  <c r="B74"/>
  <c r="H73"/>
  <c r="N72"/>
  <c r="E72"/>
  <c r="K71"/>
  <c r="C71"/>
  <c r="I70"/>
  <c r="A70"/>
  <c r="G69"/>
  <c r="M68"/>
  <c r="E68"/>
  <c r="K67"/>
  <c r="C67"/>
  <c r="I66"/>
  <c r="A66"/>
  <c r="G65"/>
  <c r="M64"/>
  <c r="E64"/>
  <c r="K63"/>
  <c r="C63"/>
  <c r="I62"/>
  <c r="N61"/>
  <c r="F61"/>
  <c r="L60"/>
  <c r="D60"/>
  <c r="J59"/>
  <c r="B59"/>
  <c r="F58"/>
  <c r="L57"/>
  <c r="B57"/>
  <c r="H56"/>
  <c r="N55"/>
  <c r="F55"/>
  <c r="L54"/>
  <c r="D54"/>
  <c r="J53"/>
  <c r="B53"/>
  <c r="H52"/>
  <c r="M51"/>
  <c r="E51"/>
  <c r="K50"/>
  <c r="C50"/>
  <c r="I49"/>
  <c r="A49"/>
  <c r="F48"/>
  <c r="L47"/>
  <c r="C47"/>
  <c r="I46"/>
  <c r="A46"/>
  <c r="G45"/>
  <c r="M44"/>
  <c r="C44"/>
  <c r="I43"/>
  <c r="A43"/>
  <c r="G42"/>
  <c r="M41"/>
  <c r="E41"/>
  <c r="K40"/>
  <c r="C40"/>
  <c r="I39"/>
  <c r="N38"/>
  <c r="F38"/>
  <c r="L37"/>
  <c r="D37"/>
  <c r="J36"/>
  <c r="B36"/>
  <c r="H35"/>
  <c r="M34"/>
  <c r="E34"/>
  <c r="K33"/>
  <c r="C33"/>
  <c r="H32"/>
  <c r="M31"/>
  <c r="E31"/>
  <c r="K30"/>
  <c r="C30"/>
  <c r="H29"/>
  <c r="N28"/>
  <c r="F28"/>
  <c r="L27"/>
  <c r="D27"/>
  <c r="H26"/>
  <c r="N25"/>
  <c r="F25"/>
  <c r="L24"/>
  <c r="C24"/>
  <c r="I23"/>
  <c r="A23"/>
  <c r="G22"/>
  <c r="M21"/>
  <c r="D21"/>
  <c r="J20"/>
  <c r="B20"/>
  <c r="H19"/>
  <c r="N18"/>
  <c r="F18"/>
  <c r="L17"/>
  <c r="D17"/>
  <c r="J16"/>
  <c r="B16"/>
  <c r="H15"/>
  <c r="N14"/>
  <c r="E14"/>
  <c r="K13"/>
  <c r="C13"/>
  <c r="I12"/>
  <c r="A12"/>
  <c r="F11"/>
  <c r="L10"/>
  <c r="C10"/>
  <c r="I9"/>
  <c r="A9"/>
  <c r="G8"/>
  <c r="M7"/>
  <c r="E7"/>
  <c r="J6"/>
  <c r="D5"/>
  <c r="B23"/>
  <c r="M17"/>
  <c r="C16"/>
  <c r="F14"/>
  <c r="D13"/>
  <c r="B12"/>
  <c r="M10"/>
  <c r="B9"/>
  <c r="N7"/>
  <c r="K6"/>
  <c r="I17" i="3"/>
  <c r="D416" i="1"/>
  <c r="A303"/>
  <c r="H234"/>
  <c r="E177"/>
  <c r="G147"/>
  <c r="D129"/>
  <c r="M116"/>
  <c r="C109"/>
  <c r="K103"/>
  <c r="A99"/>
  <c r="L94"/>
  <c r="M88"/>
  <c r="E85"/>
  <c r="E81"/>
  <c r="D77"/>
  <c r="F74"/>
  <c r="M70"/>
  <c r="G67"/>
  <c r="D62"/>
  <c r="B58"/>
  <c r="N53"/>
  <c r="G50"/>
  <c r="M46"/>
  <c r="K42"/>
  <c r="D39"/>
  <c r="I34"/>
  <c r="G30"/>
  <c r="D26"/>
  <c r="H21"/>
  <c r="B18"/>
  <c r="D15"/>
  <c r="B11"/>
  <c r="I7"/>
  <c r="E31" i="3"/>
  <c r="B413" i="1"/>
  <c r="C299"/>
  <c r="D223"/>
  <c r="M165"/>
  <c r="G134"/>
  <c r="I117"/>
  <c r="D109"/>
  <c r="D103"/>
  <c r="J99"/>
  <c r="G95"/>
  <c r="A92"/>
  <c r="D88"/>
  <c r="N85"/>
  <c r="J83"/>
  <c r="L80"/>
  <c r="G78"/>
  <c r="C76"/>
  <c r="E73"/>
  <c r="L69"/>
  <c r="H67"/>
  <c r="D65"/>
  <c r="K61"/>
  <c r="C58"/>
  <c r="A54"/>
  <c r="B51"/>
  <c r="L48"/>
  <c r="D45"/>
  <c r="L42"/>
  <c r="N39"/>
  <c r="M35"/>
  <c r="J31"/>
  <c r="I27"/>
  <c r="L22"/>
  <c r="I17"/>
  <c r="H13"/>
  <c r="H10"/>
  <c r="I312" i="2"/>
  <c r="B426" i="1"/>
  <c r="E317"/>
  <c r="D255"/>
  <c r="F201"/>
  <c r="C165"/>
  <c r="L145"/>
  <c r="B132"/>
  <c r="E122"/>
  <c r="A115"/>
  <c r="K108"/>
  <c r="E103"/>
  <c r="A98"/>
  <c r="D93"/>
  <c r="L89"/>
  <c r="A86"/>
  <c r="I82"/>
  <c r="H78"/>
  <c r="N73"/>
  <c r="E69"/>
  <c r="G62"/>
  <c r="F56"/>
  <c r="I50"/>
  <c r="E45"/>
  <c r="A40"/>
  <c r="C34"/>
  <c r="A30"/>
  <c r="L25"/>
  <c r="B21"/>
  <c r="L14"/>
  <c r="A10"/>
  <c r="J104" i="3"/>
  <c r="N51"/>
  <c r="A471" i="2"/>
  <c r="M355"/>
  <c r="A288"/>
  <c r="E250"/>
  <c r="K220"/>
  <c r="A205"/>
  <c r="L190"/>
  <c r="K179"/>
  <c r="I165"/>
  <c r="G151"/>
  <c r="F140"/>
  <c r="D126"/>
  <c r="E112"/>
  <c r="A102"/>
  <c r="M88"/>
  <c r="K75"/>
  <c r="G65"/>
  <c r="E52"/>
  <c r="C39"/>
  <c r="M28"/>
  <c r="K15"/>
  <c r="A611" i="1"/>
  <c r="M598"/>
  <c r="B594"/>
  <c r="D589"/>
  <c r="A586"/>
  <c r="C581"/>
  <c r="M576"/>
  <c r="B573"/>
  <c r="L568"/>
  <c r="C565"/>
  <c r="M561"/>
  <c r="B557"/>
  <c r="G553"/>
  <c r="D550"/>
  <c r="A546"/>
  <c r="C541"/>
  <c r="D538"/>
  <c r="A534"/>
  <c r="C529"/>
  <c r="M525"/>
  <c r="B521"/>
  <c r="D516"/>
  <c r="A513"/>
  <c r="C508"/>
  <c r="M503"/>
  <c r="B500"/>
  <c r="D495"/>
  <c r="A491"/>
  <c r="C487"/>
  <c r="M482"/>
  <c r="B478"/>
  <c r="D474"/>
  <c r="A470"/>
  <c r="C465"/>
  <c r="M461"/>
  <c r="B457"/>
  <c r="C453"/>
  <c r="M449"/>
  <c r="B445"/>
  <c r="D440"/>
  <c r="A437"/>
  <c r="C432"/>
  <c r="M427"/>
  <c r="B424"/>
  <c r="D419"/>
  <c r="A415"/>
  <c r="C411"/>
  <c r="M406"/>
  <c r="B402"/>
  <c r="D398"/>
  <c r="A394"/>
  <c r="C389"/>
  <c r="M385"/>
  <c r="B381"/>
  <c r="B378"/>
  <c r="D374"/>
  <c r="A370"/>
  <c r="C365"/>
  <c r="M361"/>
  <c r="H359"/>
  <c r="G357"/>
  <c r="B356"/>
  <c r="D354"/>
  <c r="C352"/>
  <c r="J350"/>
  <c r="A348"/>
  <c r="D346"/>
  <c r="K344"/>
  <c r="M342"/>
  <c r="C341"/>
  <c r="K339"/>
  <c r="G337"/>
  <c r="H335"/>
  <c r="M333"/>
  <c r="B332"/>
  <c r="E330"/>
  <c r="J328"/>
  <c r="M326"/>
  <c r="C325"/>
  <c r="K323"/>
  <c r="A322"/>
  <c r="A320"/>
  <c r="D318"/>
  <c r="B316"/>
  <c r="M313"/>
  <c r="H312"/>
  <c r="J310"/>
  <c r="M308"/>
  <c r="F307"/>
  <c r="H305"/>
  <c r="K303"/>
  <c r="B302"/>
  <c r="M299"/>
  <c r="B298"/>
  <c r="J296"/>
  <c r="M294"/>
  <c r="H292"/>
  <c r="M290"/>
  <c r="C289"/>
  <c r="F287"/>
  <c r="A286"/>
  <c r="M283"/>
  <c r="A282"/>
  <c r="I280"/>
  <c r="L278"/>
  <c r="B277"/>
  <c r="J275"/>
  <c r="M273"/>
  <c r="C272"/>
  <c r="G270"/>
  <c r="H268"/>
  <c r="I266"/>
  <c r="B265"/>
  <c r="C263"/>
  <c r="A261"/>
  <c r="I259"/>
  <c r="L257"/>
  <c r="L255"/>
  <c r="G254"/>
  <c r="I252"/>
  <c r="K250"/>
  <c r="C249"/>
  <c r="E247"/>
  <c r="H245"/>
  <c r="L243"/>
  <c r="B242"/>
  <c r="E240"/>
  <c r="M238"/>
  <c r="C237"/>
  <c r="F235"/>
  <c r="M233"/>
  <c r="F231"/>
  <c r="D229"/>
  <c r="L227"/>
  <c r="B226"/>
  <c r="B224"/>
  <c r="F222"/>
  <c r="F220"/>
  <c r="H218"/>
  <c r="A217"/>
  <c r="M214"/>
  <c r="C213"/>
  <c r="K211"/>
  <c r="M209"/>
  <c r="M207"/>
  <c r="A206"/>
  <c r="M203"/>
  <c r="A202"/>
  <c r="I200"/>
  <c r="J198"/>
  <c r="M196"/>
  <c r="E195"/>
  <c r="A193"/>
  <c r="D191"/>
  <c r="L189"/>
  <c r="J187"/>
  <c r="G186"/>
  <c r="A185"/>
  <c r="I183"/>
  <c r="F182"/>
  <c r="C181"/>
  <c r="M179"/>
  <c r="K178"/>
  <c r="M177"/>
  <c r="L176"/>
  <c r="L175"/>
  <c r="M174"/>
  <c r="L173"/>
  <c r="A173"/>
  <c r="M171"/>
  <c r="M170"/>
  <c r="M169"/>
  <c r="H168"/>
  <c r="J167"/>
  <c r="G166"/>
  <c r="G165"/>
  <c r="H164"/>
  <c r="J163"/>
  <c r="H162"/>
  <c r="I161"/>
  <c r="K160"/>
  <c r="M159"/>
  <c r="C159"/>
  <c r="E158"/>
  <c r="G157"/>
  <c r="J156"/>
  <c r="J155"/>
  <c r="L154"/>
  <c r="B154"/>
  <c r="C153"/>
  <c r="B152"/>
  <c r="E151"/>
  <c r="G150"/>
  <c r="I149"/>
  <c r="K148"/>
  <c r="M147"/>
  <c r="B147"/>
  <c r="C146"/>
  <c r="E145"/>
  <c r="G144"/>
  <c r="J143"/>
  <c r="L142"/>
  <c r="A142"/>
  <c r="D141"/>
  <c r="C140"/>
  <c r="E139"/>
  <c r="H138"/>
  <c r="J137"/>
  <c r="K136"/>
  <c r="A136"/>
  <c r="A135"/>
  <c r="A134"/>
  <c r="D133"/>
  <c r="G132"/>
  <c r="I131"/>
  <c r="M130"/>
  <c r="L129"/>
  <c r="M128"/>
  <c r="B128"/>
  <c r="E127"/>
  <c r="H126"/>
  <c r="L125"/>
  <c r="A125"/>
  <c r="D124"/>
  <c r="F123"/>
  <c r="I122"/>
  <c r="N121"/>
  <c r="C121"/>
  <c r="H120"/>
  <c r="M119"/>
  <c r="D119"/>
  <c r="I118"/>
  <c r="N117"/>
  <c r="E117"/>
  <c r="I116"/>
  <c r="M115"/>
  <c r="D115"/>
  <c r="I114"/>
  <c r="N113"/>
  <c r="E113"/>
  <c r="J112"/>
  <c r="N111"/>
  <c r="D111"/>
  <c r="J110"/>
  <c r="B110"/>
  <c r="H109"/>
  <c r="N108"/>
  <c r="F108"/>
  <c r="L107"/>
  <c r="D107"/>
  <c r="G106"/>
  <c r="L105"/>
  <c r="D105"/>
  <c r="J104"/>
  <c r="B104"/>
  <c r="H103"/>
  <c r="N102"/>
  <c r="D102"/>
  <c r="J101"/>
  <c r="B101"/>
  <c r="H100"/>
  <c r="N99"/>
  <c r="F99"/>
  <c r="L98"/>
  <c r="D98"/>
  <c r="G97"/>
  <c r="M96"/>
  <c r="E96"/>
  <c r="K95"/>
  <c r="C95"/>
  <c r="I94"/>
  <c r="A94"/>
  <c r="G93"/>
  <c r="M92"/>
  <c r="E92"/>
  <c r="K91"/>
  <c r="C91"/>
  <c r="I90"/>
  <c r="A90"/>
  <c r="D89"/>
  <c r="H88"/>
  <c r="N87"/>
  <c r="F87"/>
  <c r="L86"/>
  <c r="D86"/>
  <c r="J85"/>
  <c r="B85"/>
  <c r="H84"/>
  <c r="N83"/>
  <c r="F83"/>
  <c r="L82"/>
  <c r="D82"/>
  <c r="J81"/>
  <c r="B81"/>
  <c r="H80"/>
  <c r="N79"/>
  <c r="E79"/>
  <c r="K78"/>
  <c r="C78"/>
  <c r="I77"/>
  <c r="A77"/>
  <c r="G76"/>
  <c r="M75"/>
  <c r="E75"/>
  <c r="K74"/>
  <c r="C74"/>
  <c r="I73"/>
  <c r="A73"/>
  <c r="F72"/>
  <c r="L71"/>
  <c r="D71"/>
  <c r="J70"/>
  <c r="B70"/>
  <c r="H69"/>
  <c r="N68"/>
  <c r="F68"/>
  <c r="L67"/>
  <c r="D67"/>
  <c r="J66"/>
  <c r="B66"/>
  <c r="H65"/>
  <c r="N64"/>
  <c r="F64"/>
  <c r="L63"/>
  <c r="D63"/>
  <c r="J62"/>
  <c r="A62"/>
  <c r="G61"/>
  <c r="M60"/>
  <c r="E60"/>
  <c r="K59"/>
  <c r="C59"/>
  <c r="G58"/>
  <c r="M57"/>
  <c r="C57"/>
  <c r="I56"/>
  <c r="A56"/>
  <c r="G55"/>
  <c r="M54"/>
  <c r="E54"/>
  <c r="K53"/>
  <c r="C53"/>
  <c r="I52"/>
  <c r="N51"/>
  <c r="F51"/>
  <c r="L50"/>
  <c r="D50"/>
  <c r="J49"/>
  <c r="B49"/>
  <c r="G48"/>
  <c r="M47"/>
  <c r="D47"/>
  <c r="J46"/>
  <c r="B46"/>
  <c r="H45"/>
  <c r="N44"/>
  <c r="D44"/>
  <c r="J43"/>
  <c r="B43"/>
  <c r="H42"/>
  <c r="N41"/>
  <c r="F41"/>
  <c r="L40"/>
  <c r="D40"/>
  <c r="J39"/>
  <c r="A39"/>
  <c r="G38"/>
  <c r="M37"/>
  <c r="E37"/>
  <c r="K36"/>
  <c r="C36"/>
  <c r="I35"/>
  <c r="N34"/>
  <c r="F34"/>
  <c r="L33"/>
  <c r="D33"/>
  <c r="I32"/>
  <c r="N31"/>
  <c r="F31"/>
  <c r="L30"/>
  <c r="D30"/>
  <c r="J29"/>
  <c r="A29"/>
  <c r="G28"/>
  <c r="M27"/>
  <c r="E27"/>
  <c r="J26"/>
  <c r="A26"/>
  <c r="G25"/>
  <c r="M24"/>
  <c r="D24"/>
  <c r="J23"/>
  <c r="H22"/>
  <c r="N21"/>
  <c r="E21"/>
  <c r="K20"/>
  <c r="C20"/>
  <c r="I19"/>
  <c r="A19"/>
  <c r="G18"/>
  <c r="E17"/>
  <c r="K16"/>
  <c r="I15"/>
  <c r="A15"/>
  <c r="L13"/>
  <c r="J12"/>
  <c r="G11"/>
  <c r="D10"/>
  <c r="J9"/>
  <c r="H8"/>
  <c r="F7"/>
  <c r="E5"/>
  <c r="A407" i="2"/>
  <c r="L233"/>
  <c r="K195"/>
  <c r="H170"/>
  <c r="E145"/>
  <c r="A117"/>
  <c r="G93"/>
  <c r="A70"/>
  <c r="K43"/>
  <c r="E20"/>
  <c r="C600" i="1"/>
  <c r="B591"/>
  <c r="A583"/>
  <c r="M574"/>
  <c r="A567"/>
  <c r="M558"/>
  <c r="B552"/>
  <c r="A543"/>
  <c r="D535"/>
  <c r="C527"/>
  <c r="B518"/>
  <c r="A510"/>
  <c r="M501"/>
  <c r="D492"/>
  <c r="C484"/>
  <c r="B476"/>
  <c r="A467"/>
  <c r="M458"/>
  <c r="C451"/>
  <c r="B442"/>
  <c r="A434"/>
  <c r="M425"/>
  <c r="C408"/>
  <c r="D395"/>
  <c r="C387"/>
  <c r="J378"/>
  <c r="D371"/>
  <c r="C363"/>
  <c r="B358"/>
  <c r="M354"/>
  <c r="E351"/>
  <c r="L346"/>
  <c r="I343"/>
  <c r="F340"/>
  <c r="C336"/>
  <c r="J332"/>
  <c r="E329"/>
  <c r="K325"/>
  <c r="I322"/>
  <c r="C319"/>
  <c r="H314"/>
  <c r="E311"/>
  <c r="A308"/>
  <c r="F304"/>
  <c r="E297"/>
  <c r="H291"/>
  <c r="A288"/>
  <c r="I284"/>
  <c r="D281"/>
  <c r="J277"/>
  <c r="H274"/>
  <c r="E271"/>
  <c r="E267"/>
  <c r="K263"/>
  <c r="D260"/>
  <c r="G256"/>
  <c r="D253"/>
  <c r="L249"/>
  <c r="C246"/>
  <c r="J242"/>
  <c r="H239"/>
  <c r="A236"/>
  <c r="M229"/>
  <c r="C223"/>
  <c r="C219"/>
  <c r="H215"/>
  <c r="F212"/>
  <c r="H208"/>
  <c r="L204"/>
  <c r="D201"/>
  <c r="H197"/>
  <c r="L193"/>
  <c r="G190"/>
  <c r="A187"/>
  <c r="E184"/>
  <c r="J181"/>
  <c r="D179"/>
  <c r="D175"/>
  <c r="F172"/>
  <c r="D170"/>
  <c r="M167"/>
  <c r="L165"/>
  <c r="A164"/>
  <c r="B162"/>
  <c r="E160"/>
  <c r="I158"/>
  <c r="A157"/>
  <c r="D155"/>
  <c r="G153"/>
  <c r="I151"/>
  <c r="A150"/>
  <c r="D148"/>
  <c r="L144"/>
  <c r="F142"/>
  <c r="I140"/>
  <c r="L138"/>
  <c r="C137"/>
  <c r="E135"/>
  <c r="H133"/>
  <c r="N131"/>
  <c r="B130"/>
  <c r="I127"/>
  <c r="E125"/>
  <c r="L123"/>
  <c r="C122"/>
  <c r="L120"/>
  <c r="G119"/>
  <c r="C118"/>
  <c r="C116"/>
  <c r="C114"/>
  <c r="M112"/>
  <c r="G111"/>
  <c r="E110"/>
  <c r="I108"/>
  <c r="A106"/>
  <c r="M104"/>
  <c r="C103"/>
  <c r="E101"/>
  <c r="C100"/>
  <c r="G98"/>
  <c r="H96"/>
  <c r="F95"/>
  <c r="B93"/>
  <c r="F91"/>
  <c r="G89"/>
  <c r="I87"/>
  <c r="M85"/>
  <c r="C84"/>
  <c r="M81"/>
  <c r="C80"/>
  <c r="L77"/>
  <c r="N74"/>
  <c r="I72"/>
  <c r="E70"/>
  <c r="A68"/>
  <c r="C65"/>
  <c r="G63"/>
  <c r="J61"/>
  <c r="F59"/>
  <c r="L56"/>
  <c r="B55"/>
  <c r="C52"/>
  <c r="M49"/>
  <c r="G47"/>
  <c r="G44"/>
  <c r="I41"/>
  <c r="J38"/>
  <c r="F36"/>
  <c r="A34"/>
  <c r="I31"/>
  <c r="B28"/>
  <c r="M23"/>
  <c r="N20"/>
  <c r="J18"/>
  <c r="L15"/>
  <c r="M12"/>
  <c r="M9"/>
  <c r="A7"/>
  <c r="H72" i="3"/>
  <c r="D273" i="2"/>
  <c r="E185"/>
  <c r="J120"/>
  <c r="I70"/>
  <c r="M20"/>
  <c r="B583" i="1"/>
  <c r="D563"/>
  <c r="B544"/>
  <c r="C519"/>
  <c r="M493"/>
  <c r="D463"/>
  <c r="D430"/>
  <c r="B392"/>
  <c r="D360"/>
  <c r="H345"/>
  <c r="F331"/>
  <c r="E321"/>
  <c r="A310"/>
  <c r="F297"/>
  <c r="J286"/>
  <c r="H279"/>
  <c r="D273"/>
  <c r="L267"/>
  <c r="B262"/>
  <c r="C255"/>
  <c r="A248"/>
  <c r="F241"/>
  <c r="J234"/>
  <c r="K226"/>
  <c r="L217"/>
  <c r="I210"/>
  <c r="M204"/>
  <c r="F199"/>
  <c r="M193"/>
  <c r="L185"/>
  <c r="H180"/>
  <c r="E176"/>
  <c r="G172"/>
  <c r="B168"/>
  <c r="D163"/>
  <c r="J158"/>
  <c r="G154"/>
  <c r="C149"/>
  <c r="M144"/>
  <c r="I141"/>
  <c r="D137"/>
  <c r="D131"/>
  <c r="J127"/>
  <c r="J124"/>
  <c r="H121"/>
  <c r="D118"/>
  <c r="N114"/>
  <c r="E112"/>
  <c r="F70"/>
  <c r="H50"/>
  <c r="D42"/>
  <c r="C38"/>
  <c r="B34"/>
  <c r="H30"/>
  <c r="A27"/>
  <c r="D22"/>
  <c r="C18"/>
  <c r="E15"/>
  <c r="F12"/>
  <c r="D8"/>
  <c r="M419" i="2"/>
  <c r="C237"/>
  <c r="B200"/>
  <c r="M185"/>
  <c r="J160"/>
  <c r="G135"/>
  <c r="K107"/>
  <c r="E84"/>
  <c r="M60"/>
  <c r="I34"/>
  <c r="C11"/>
  <c r="B597" i="1"/>
  <c r="C584"/>
  <c r="D571"/>
  <c r="M563"/>
  <c r="D555"/>
  <c r="A549"/>
  <c r="D540"/>
  <c r="C532"/>
  <c r="D519"/>
  <c r="M506"/>
  <c r="D498"/>
  <c r="C489"/>
  <c r="B481"/>
  <c r="A473"/>
  <c r="B460"/>
  <c r="B448"/>
  <c r="C435"/>
  <c r="D422"/>
  <c r="M409"/>
  <c r="A397"/>
  <c r="M387"/>
  <c r="D379"/>
  <c r="A373"/>
  <c r="J360"/>
  <c r="G355"/>
  <c r="G351"/>
  <c r="I345"/>
  <c r="E342"/>
  <c r="L336"/>
  <c r="D333"/>
  <c r="B328"/>
  <c r="C323"/>
  <c r="B315"/>
  <c r="B310"/>
  <c r="M304"/>
  <c r="D299"/>
  <c r="B296"/>
  <c r="E290"/>
  <c r="E285"/>
  <c r="A280"/>
  <c r="B275"/>
  <c r="L269"/>
  <c r="C262"/>
  <c r="A257"/>
  <c r="A250"/>
  <c r="M244"/>
  <c r="J239"/>
  <c r="K234"/>
  <c r="I228"/>
  <c r="J221"/>
  <c r="E214"/>
  <c r="A207"/>
  <c r="A200"/>
  <c r="F192"/>
  <c r="B186"/>
  <c r="K180"/>
  <c r="G176"/>
  <c r="H172"/>
  <c r="C169"/>
  <c r="B166"/>
  <c r="E161"/>
  <c r="A158"/>
  <c r="I154"/>
  <c r="L151"/>
  <c r="I147"/>
  <c r="D144"/>
  <c r="K141"/>
  <c r="D138"/>
  <c r="K133"/>
  <c r="J128"/>
  <c r="K124"/>
  <c r="N120"/>
  <c r="J117"/>
  <c r="J113"/>
  <c r="G110"/>
  <c r="I107"/>
  <c r="G104"/>
  <c r="G101"/>
  <c r="K99"/>
  <c r="J96"/>
  <c r="L93"/>
  <c r="N90"/>
  <c r="C87"/>
  <c r="K83"/>
  <c r="E80"/>
  <c r="D76"/>
  <c r="C72"/>
  <c r="K68"/>
  <c r="K64"/>
  <c r="D61"/>
  <c r="D58"/>
  <c r="J54"/>
  <c r="N52"/>
  <c r="A50"/>
  <c r="G46"/>
  <c r="M42"/>
  <c r="I40"/>
  <c r="J37"/>
  <c r="I33"/>
  <c r="I30"/>
  <c r="B27"/>
  <c r="A24"/>
  <c r="K21"/>
  <c r="F19"/>
  <c r="H16"/>
  <c r="C14"/>
  <c r="D11"/>
  <c r="G9"/>
  <c r="C7"/>
  <c r="N106" i="3"/>
  <c r="D54"/>
  <c r="A13"/>
  <c r="B362" i="2"/>
  <c r="J289"/>
  <c r="C260"/>
  <c r="F222"/>
  <c r="I205"/>
  <c r="H194"/>
  <c r="F180"/>
  <c r="D166"/>
  <c r="C155"/>
  <c r="A141"/>
  <c r="L126"/>
  <c r="K115"/>
  <c r="I102"/>
  <c r="G89"/>
  <c r="C79"/>
  <c r="A66"/>
  <c r="M52"/>
  <c r="I42"/>
  <c r="G29"/>
  <c r="E16"/>
  <c r="M623" i="1"/>
  <c r="A599"/>
  <c r="C594"/>
  <c r="M590"/>
  <c r="B586"/>
  <c r="D581"/>
  <c r="A578"/>
  <c r="C573"/>
  <c r="M568"/>
  <c r="D566"/>
  <c r="A562"/>
  <c r="C557"/>
  <c r="M553"/>
  <c r="M550"/>
  <c r="B546"/>
  <c r="D542"/>
  <c r="M538"/>
  <c r="B534"/>
  <c r="D530"/>
  <c r="A526"/>
  <c r="C521"/>
  <c r="M517"/>
  <c r="B513"/>
  <c r="D508"/>
  <c r="A505"/>
  <c r="C500"/>
  <c r="M495"/>
  <c r="B492"/>
  <c r="D487"/>
  <c r="A483"/>
  <c r="C479"/>
  <c r="M474"/>
  <c r="B470"/>
  <c r="D466"/>
  <c r="A462"/>
  <c r="C457"/>
  <c r="M453"/>
  <c r="A450"/>
  <c r="C445"/>
  <c r="M441"/>
  <c r="B437"/>
  <c r="D432"/>
  <c r="A429"/>
  <c r="C424"/>
  <c r="M419"/>
  <c r="B416"/>
  <c r="D411"/>
  <c r="A407"/>
  <c r="C403"/>
  <c r="M398"/>
  <c r="B394"/>
  <c r="D390"/>
  <c r="A386"/>
  <c r="C381"/>
  <c r="H378"/>
  <c r="M374"/>
  <c r="B370"/>
  <c r="D366"/>
  <c r="A362"/>
  <c r="I359"/>
  <c r="M357"/>
  <c r="C356"/>
  <c r="E354"/>
  <c r="J352"/>
  <c r="K350"/>
  <c r="B348"/>
  <c r="J346"/>
  <c r="L344"/>
  <c r="A343"/>
  <c r="I341"/>
  <c r="L339"/>
  <c r="H337"/>
  <c r="A336"/>
  <c r="A334"/>
  <c r="C332"/>
  <c r="K330"/>
  <c r="K328"/>
  <c r="A327"/>
  <c r="I325"/>
  <c r="L323"/>
  <c r="B322"/>
  <c r="J320"/>
  <c r="E318"/>
  <c r="C316"/>
  <c r="F314"/>
  <c r="I312"/>
  <c r="K310"/>
  <c r="F309"/>
  <c r="G307"/>
  <c r="I305"/>
  <c r="D304"/>
  <c r="C302"/>
  <c r="A300"/>
  <c r="H298"/>
  <c r="K296"/>
  <c r="A295"/>
  <c r="A293"/>
  <c r="A291"/>
  <c r="D289"/>
  <c r="L287"/>
  <c r="B286"/>
  <c r="A284"/>
  <c r="G282"/>
  <c r="J280"/>
  <c r="M278"/>
  <c r="H277"/>
  <c r="K275"/>
  <c r="A274"/>
  <c r="I272"/>
  <c r="K270"/>
  <c r="J268"/>
  <c r="C267"/>
  <c r="C265"/>
  <c r="D263"/>
  <c r="G261"/>
  <c r="J259"/>
  <c r="M257"/>
  <c r="E256"/>
  <c r="H254"/>
  <c r="J252"/>
  <c r="D251"/>
  <c r="D249"/>
  <c r="F247"/>
  <c r="A246"/>
  <c r="M243"/>
  <c r="C242"/>
  <c r="K240"/>
  <c r="A239"/>
  <c r="D237"/>
  <c r="L235"/>
  <c r="A234"/>
  <c r="H231"/>
  <c r="K229"/>
  <c r="M227"/>
  <c r="C226"/>
  <c r="I224"/>
  <c r="H222"/>
  <c r="G220"/>
  <c r="A219"/>
  <c r="B217"/>
  <c r="A215"/>
  <c r="I213"/>
  <c r="L211"/>
  <c r="A210"/>
  <c r="F208"/>
  <c r="B206"/>
  <c r="A204"/>
  <c r="H202"/>
  <c r="J200"/>
  <c r="K198"/>
  <c r="F197"/>
  <c r="F195"/>
  <c r="B193"/>
  <c r="J191"/>
  <c r="M189"/>
  <c r="M187"/>
  <c r="J186"/>
  <c r="D185"/>
  <c r="A184"/>
  <c r="I182"/>
  <c r="F181"/>
  <c r="C180"/>
  <c r="M178"/>
  <c r="A178"/>
  <c r="M176"/>
  <c r="B176"/>
  <c r="A175"/>
  <c r="A174"/>
  <c r="B173"/>
  <c r="A172"/>
  <c r="C171"/>
  <c r="A170"/>
  <c r="J168"/>
  <c r="K167"/>
  <c r="I166"/>
  <c r="J165"/>
  <c r="I164"/>
  <c r="L163"/>
  <c r="M162"/>
  <c r="K161"/>
  <c r="M160"/>
  <c r="B160"/>
  <c r="D159"/>
  <c r="G158"/>
  <c r="I157"/>
  <c r="K156"/>
  <c r="L155"/>
  <c r="A155"/>
  <c r="C154"/>
  <c r="E153"/>
  <c r="D152"/>
  <c r="F151"/>
  <c r="I150"/>
  <c r="K149"/>
  <c r="L148"/>
  <c r="B148"/>
  <c r="D147"/>
  <c r="D146"/>
  <c r="G145"/>
  <c r="I144"/>
  <c r="K143"/>
  <c r="A143"/>
  <c r="C142"/>
  <c r="E141"/>
  <c r="E140"/>
  <c r="G139"/>
  <c r="I138"/>
  <c r="L137"/>
  <c r="M136"/>
  <c r="B136"/>
  <c r="C135"/>
  <c r="C134"/>
  <c r="E133"/>
  <c r="I132"/>
  <c r="K131"/>
  <c r="N130"/>
  <c r="N129"/>
  <c r="A129"/>
  <c r="C128"/>
  <c r="G127"/>
  <c r="J126"/>
  <c r="M125"/>
  <c r="C125"/>
  <c r="F124"/>
  <c r="G123"/>
  <c r="K122"/>
  <c r="A122"/>
  <c r="E121"/>
  <c r="I120"/>
  <c r="N119"/>
  <c r="E119"/>
  <c r="J118"/>
  <c r="A118"/>
  <c r="F117"/>
  <c r="K116"/>
  <c r="N115"/>
  <c r="E115"/>
  <c r="J114"/>
  <c r="A114"/>
  <c r="F113"/>
  <c r="K112"/>
  <c r="B112"/>
  <c r="E111"/>
  <c r="K110"/>
  <c r="C110"/>
  <c r="I109"/>
  <c r="A109"/>
  <c r="G108"/>
  <c r="M107"/>
  <c r="E107"/>
  <c r="K106"/>
  <c r="M105"/>
  <c r="E105"/>
  <c r="K104"/>
  <c r="C104"/>
  <c r="I103"/>
  <c r="A103"/>
  <c r="E102"/>
  <c r="K101"/>
  <c r="C101"/>
  <c r="I100"/>
  <c r="A100"/>
  <c r="G99"/>
  <c r="M98"/>
  <c r="E98"/>
  <c r="K97"/>
  <c r="N96"/>
  <c r="F96"/>
  <c r="L95"/>
  <c r="D95"/>
  <c r="J94"/>
  <c r="B94"/>
  <c r="H93"/>
  <c r="N92"/>
  <c r="F92"/>
  <c r="L91"/>
  <c r="D91"/>
  <c r="J90"/>
  <c r="B90"/>
  <c r="E89"/>
  <c r="K88"/>
  <c r="A88"/>
  <c r="G87"/>
  <c r="M86"/>
  <c r="E86"/>
  <c r="K85"/>
  <c r="C85"/>
  <c r="I84"/>
  <c r="A84"/>
  <c r="G83"/>
  <c r="M82"/>
  <c r="E82"/>
  <c r="K81"/>
  <c r="C81"/>
  <c r="I80"/>
  <c r="A80"/>
  <c r="F79"/>
  <c r="L78"/>
  <c r="D78"/>
  <c r="J77"/>
  <c r="B77"/>
  <c r="H76"/>
  <c r="N75"/>
  <c r="F75"/>
  <c r="L74"/>
  <c r="D74"/>
  <c r="J73"/>
  <c r="B73"/>
  <c r="G72"/>
  <c r="M71"/>
  <c r="E71"/>
  <c r="K70"/>
  <c r="C70"/>
  <c r="I69"/>
  <c r="A69"/>
  <c r="G68"/>
  <c r="M67"/>
  <c r="E67"/>
  <c r="K66"/>
  <c r="C66"/>
  <c r="I65"/>
  <c r="A65"/>
  <c r="G64"/>
  <c r="M63"/>
  <c r="E63"/>
  <c r="K62"/>
  <c r="B62"/>
  <c r="H61"/>
  <c r="N60"/>
  <c r="F60"/>
  <c r="L59"/>
  <c r="D59"/>
  <c r="H58"/>
  <c r="N57"/>
  <c r="D57"/>
  <c r="J56"/>
  <c r="B56"/>
  <c r="H55"/>
  <c r="N54"/>
  <c r="F54"/>
  <c r="L53"/>
  <c r="D53"/>
  <c r="J52"/>
  <c r="A52"/>
  <c r="G51"/>
  <c r="M50"/>
  <c r="E50"/>
  <c r="K49"/>
  <c r="C49"/>
  <c r="H48"/>
  <c r="N47"/>
  <c r="E47"/>
  <c r="K46"/>
  <c r="C46"/>
  <c r="I45"/>
  <c r="A45"/>
  <c r="E44"/>
  <c r="K43"/>
  <c r="C43"/>
  <c r="I42"/>
  <c r="A42"/>
  <c r="G41"/>
  <c r="M40"/>
  <c r="E40"/>
  <c r="K39"/>
  <c r="B39"/>
  <c r="H38"/>
  <c r="N37"/>
  <c r="F37"/>
  <c r="L36"/>
  <c r="D36"/>
  <c r="J35"/>
  <c r="A35"/>
  <c r="G34"/>
  <c r="M33"/>
  <c r="E33"/>
  <c r="J32"/>
  <c r="A32"/>
  <c r="G31"/>
  <c r="M30"/>
  <c r="E30"/>
  <c r="K29"/>
  <c r="B29"/>
  <c r="H28"/>
  <c r="N27"/>
  <c r="F27"/>
  <c r="L26"/>
  <c r="B26"/>
  <c r="H25"/>
  <c r="N24"/>
  <c r="E24"/>
  <c r="K23"/>
  <c r="C23"/>
  <c r="I22"/>
  <c r="A22"/>
  <c r="F21"/>
  <c r="L20"/>
  <c r="D20"/>
  <c r="J19"/>
  <c r="B19"/>
  <c r="H18"/>
  <c r="N17"/>
  <c r="F17"/>
  <c r="L16"/>
  <c r="D16"/>
  <c r="J15"/>
  <c r="B15"/>
  <c r="G14"/>
  <c r="M13"/>
  <c r="E13"/>
  <c r="K12"/>
  <c r="C12"/>
  <c r="H11"/>
  <c r="N10"/>
  <c r="E10"/>
  <c r="K9"/>
  <c r="C9"/>
  <c r="I8"/>
  <c r="A8"/>
  <c r="G7"/>
  <c r="L6"/>
  <c r="L5"/>
  <c r="D70" i="3"/>
  <c r="A413" i="1"/>
  <c r="J298"/>
  <c r="G228"/>
  <c r="D176"/>
  <c r="G146"/>
  <c r="G107"/>
  <c r="H92"/>
  <c r="A83"/>
  <c r="N78"/>
  <c r="H75"/>
  <c r="A72"/>
  <c r="C69"/>
  <c r="E66"/>
  <c r="A64"/>
  <c r="N59"/>
  <c r="D56"/>
  <c r="L52"/>
  <c r="E49"/>
  <c r="E46"/>
  <c r="E43"/>
  <c r="G40"/>
  <c r="B38"/>
  <c r="C35"/>
  <c r="C32"/>
  <c r="D29"/>
  <c r="N26"/>
  <c r="G24"/>
  <c r="K22"/>
  <c r="L19"/>
  <c r="N16"/>
  <c r="A14"/>
  <c r="K11"/>
  <c r="K8"/>
  <c r="C413" i="2"/>
  <c r="G199"/>
  <c r="M145"/>
  <c r="A94"/>
  <c r="C47"/>
  <c r="D600" i="1"/>
  <c r="M587"/>
  <c r="A575"/>
  <c r="A559"/>
  <c r="C552"/>
  <c r="M535"/>
  <c r="D527"/>
  <c r="B510"/>
  <c r="A502"/>
  <c r="D484"/>
  <c r="C476"/>
  <c r="B468"/>
  <c r="D451"/>
  <c r="C443"/>
  <c r="B434"/>
  <c r="M417"/>
  <c r="A405"/>
  <c r="M395"/>
  <c r="A383"/>
  <c r="M371"/>
  <c r="D363"/>
  <c r="K356"/>
  <c r="F351"/>
  <c r="E347"/>
  <c r="D342"/>
  <c r="L334"/>
  <c r="I329"/>
  <c r="G324"/>
  <c r="D319"/>
  <c r="D313"/>
  <c r="B308"/>
  <c r="B303"/>
  <c r="I295"/>
  <c r="L289"/>
  <c r="B283"/>
  <c r="F276"/>
  <c r="E269"/>
  <c r="E260"/>
  <c r="E253"/>
  <c r="I246"/>
  <c r="I239"/>
  <c r="D232"/>
  <c r="D225"/>
  <c r="I215"/>
  <c r="M206"/>
  <c r="A196"/>
  <c r="E188"/>
  <c r="A183"/>
  <c r="E178"/>
  <c r="F174"/>
  <c r="H170"/>
  <c r="B165"/>
  <c r="C161"/>
  <c r="H159"/>
  <c r="B156"/>
  <c r="K152"/>
  <c r="L150"/>
  <c r="H147"/>
  <c r="B144"/>
  <c r="K140"/>
  <c r="M138"/>
  <c r="F135"/>
  <c r="A132"/>
  <c r="G128"/>
  <c r="F125"/>
  <c r="D122"/>
  <c r="I119"/>
  <c r="N116"/>
  <c r="I113"/>
  <c r="N110"/>
  <c r="J108"/>
  <c r="B106"/>
  <c r="N104"/>
  <c r="I102"/>
  <c r="L100"/>
  <c r="B99"/>
  <c r="C97"/>
  <c r="M94"/>
  <c r="I92"/>
  <c r="M90"/>
  <c r="N88"/>
  <c r="H86"/>
  <c r="D84"/>
  <c r="N81"/>
  <c r="D80"/>
  <c r="M77"/>
  <c r="A75"/>
  <c r="M73"/>
  <c r="H71"/>
  <c r="D69"/>
  <c r="N66"/>
  <c r="J64"/>
  <c r="H63"/>
  <c r="C61"/>
  <c r="A60"/>
  <c r="G57"/>
  <c r="K55"/>
  <c r="M52"/>
  <c r="N49"/>
  <c r="I47"/>
  <c r="F46"/>
  <c r="N43"/>
  <c r="J41"/>
  <c r="E39"/>
  <c r="I37"/>
  <c r="D35"/>
  <c r="H33"/>
  <c r="B31"/>
  <c r="K28"/>
  <c r="K25"/>
  <c r="H24"/>
  <c r="A21"/>
  <c r="K18"/>
  <c r="G16"/>
  <c r="B14"/>
  <c r="C11"/>
  <c r="F9"/>
  <c r="B7"/>
  <c r="D86" i="3"/>
  <c r="A588" i="1"/>
  <c r="M527"/>
  <c r="C468"/>
  <c r="C413"/>
  <c r="C368"/>
  <c r="F347"/>
  <c r="G331"/>
  <c r="E313"/>
  <c r="C301"/>
  <c r="H288"/>
  <c r="D278"/>
  <c r="A266"/>
  <c r="K253"/>
  <c r="D243"/>
  <c r="H236"/>
  <c r="D227"/>
  <c r="M217"/>
  <c r="D209"/>
  <c r="B198"/>
  <c r="B189"/>
  <c r="D183"/>
  <c r="H178"/>
  <c r="I173"/>
  <c r="E168"/>
  <c r="E163"/>
  <c r="J159"/>
  <c r="D156"/>
  <c r="L152"/>
  <c r="G148"/>
  <c r="F143"/>
  <c r="B139"/>
  <c r="H134"/>
  <c r="E130"/>
  <c r="L127"/>
  <c r="A124"/>
  <c r="E120"/>
  <c r="A117"/>
  <c r="A113"/>
  <c r="E109"/>
  <c r="I105"/>
  <c r="J102"/>
  <c r="C99"/>
  <c r="H95"/>
  <c r="B92"/>
  <c r="E88"/>
  <c r="G85"/>
  <c r="G81"/>
  <c r="N77"/>
  <c r="J75"/>
  <c r="F73"/>
  <c r="G70"/>
  <c r="C68"/>
  <c r="M65"/>
  <c r="C64"/>
  <c r="J60"/>
  <c r="N58"/>
  <c r="D55"/>
  <c r="E52"/>
  <c r="M48"/>
  <c r="A47"/>
  <c r="A44"/>
  <c r="K41"/>
  <c r="D38"/>
  <c r="N35"/>
  <c r="A33"/>
  <c r="F29"/>
  <c r="D25"/>
  <c r="E22"/>
  <c r="B17"/>
  <c r="G12"/>
  <c r="M8"/>
  <c r="I109" i="3"/>
  <c r="N67"/>
  <c r="E15"/>
  <c r="D368" i="2"/>
  <c r="H299"/>
  <c r="K261"/>
  <c r="A224"/>
  <c r="E209"/>
  <c r="C195"/>
  <c r="A181"/>
  <c r="M169"/>
  <c r="K155"/>
  <c r="I141"/>
  <c r="H130"/>
  <c r="F116"/>
  <c r="C103"/>
  <c r="M92"/>
  <c r="K79"/>
  <c r="I66"/>
  <c r="E56"/>
  <c r="C43"/>
  <c r="A30"/>
  <c r="K19"/>
  <c r="H6"/>
  <c r="B599" i="1"/>
  <c r="D595"/>
  <c r="A591"/>
  <c r="C586"/>
  <c r="M582"/>
  <c r="B578"/>
  <c r="D573"/>
  <c r="A570"/>
  <c r="M566"/>
  <c r="B562"/>
  <c r="D558"/>
  <c r="A554"/>
  <c r="A551"/>
  <c r="C547"/>
  <c r="M542"/>
  <c r="A539"/>
  <c r="C535"/>
  <c r="M530"/>
  <c r="B526"/>
  <c r="D522"/>
  <c r="A518"/>
  <c r="C513"/>
  <c r="M509"/>
  <c r="B505"/>
  <c r="D500"/>
  <c r="A497"/>
  <c r="C492"/>
  <c r="M487"/>
  <c r="B484"/>
  <c r="D479"/>
  <c r="A475"/>
  <c r="C471"/>
  <c r="M466"/>
  <c r="B462"/>
  <c r="D458"/>
  <c r="A454"/>
  <c r="B450"/>
  <c r="D446"/>
  <c r="A442"/>
  <c r="C437"/>
  <c r="M433"/>
  <c r="B429"/>
  <c r="D424"/>
  <c r="A421"/>
  <c r="C416"/>
  <c r="M411"/>
  <c r="B408"/>
  <c r="D403"/>
  <c r="A399"/>
  <c r="C395"/>
  <c r="M390"/>
  <c r="B386"/>
  <c r="D382"/>
  <c r="I378"/>
  <c r="A375"/>
  <c r="C371"/>
  <c r="M366"/>
  <c r="B362"/>
  <c r="B360"/>
  <c r="A358"/>
  <c r="D356"/>
  <c r="L354"/>
  <c r="K352"/>
  <c r="L350"/>
  <c r="B349"/>
  <c r="K346"/>
  <c r="M344"/>
  <c r="G343"/>
  <c r="J341"/>
  <c r="M339"/>
  <c r="A338"/>
  <c r="B336"/>
  <c r="B334"/>
  <c r="I332"/>
  <c r="L330"/>
  <c r="L328"/>
  <c r="G327"/>
  <c r="J325"/>
  <c r="M323"/>
  <c r="H322"/>
  <c r="K320"/>
  <c r="F318"/>
  <c r="I316"/>
  <c r="G314"/>
  <c r="J312"/>
  <c r="D311"/>
  <c r="G309"/>
  <c r="H307"/>
  <c r="B306"/>
  <c r="E304"/>
  <c r="D302"/>
  <c r="G300"/>
  <c r="I298"/>
  <c r="L296"/>
  <c r="G295"/>
  <c r="B293"/>
  <c r="B291"/>
  <c r="J289"/>
  <c r="M287"/>
  <c r="C286"/>
  <c r="H284"/>
  <c r="H282"/>
  <c r="K280"/>
  <c r="F279"/>
  <c r="I277"/>
  <c r="L275"/>
  <c r="G274"/>
  <c r="J272"/>
  <c r="L270"/>
  <c r="C269"/>
  <c r="D267"/>
  <c r="D265"/>
  <c r="J263"/>
  <c r="H261"/>
  <c r="K259"/>
  <c r="F258"/>
  <c r="F256"/>
  <c r="I254"/>
  <c r="C253"/>
  <c r="E251"/>
  <c r="E249"/>
  <c r="L247"/>
  <c r="B246"/>
  <c r="A244"/>
  <c r="I242"/>
  <c r="L240"/>
  <c r="B239"/>
  <c r="J237"/>
  <c r="M235"/>
  <c r="B234"/>
  <c r="B232"/>
  <c r="L229"/>
  <c r="A228"/>
  <c r="I226"/>
  <c r="J224"/>
  <c r="I222"/>
  <c r="M220"/>
  <c r="B219"/>
  <c r="C217"/>
  <c r="G215"/>
  <c r="J213"/>
  <c r="M211"/>
  <c r="G210"/>
  <c r="G208"/>
  <c r="C206"/>
  <c r="G204"/>
  <c r="I202"/>
  <c r="K200"/>
  <c r="D199"/>
  <c r="G197"/>
  <c r="G195"/>
  <c r="K193"/>
  <c r="K191"/>
  <c r="A190"/>
  <c r="C188"/>
  <c r="M186"/>
  <c r="G185"/>
  <c r="D184"/>
  <c r="L182"/>
  <c r="I181"/>
  <c r="F180"/>
  <c r="C179"/>
  <c r="B178"/>
  <c r="B177"/>
  <c r="C176"/>
  <c r="B175"/>
  <c r="D174"/>
  <c r="C173"/>
  <c r="C172"/>
  <c r="D171"/>
  <c r="B170"/>
  <c r="M168"/>
  <c r="L167"/>
  <c r="L166"/>
  <c r="K165"/>
  <c r="J164"/>
  <c r="M163"/>
  <c r="A163"/>
  <c r="M161"/>
  <c r="A161"/>
  <c r="C160"/>
  <c r="E159"/>
  <c r="H158"/>
  <c r="J157"/>
  <c r="L156"/>
  <c r="M155"/>
  <c r="B155"/>
  <c r="D154"/>
  <c r="F153"/>
  <c r="E152"/>
  <c r="G151"/>
  <c r="J150"/>
  <c r="L149"/>
  <c r="M148"/>
  <c r="C148"/>
  <c r="E147"/>
  <c r="E146"/>
  <c r="H145"/>
  <c r="J144"/>
  <c r="L143"/>
  <c r="B143"/>
  <c r="D142"/>
  <c r="F141"/>
  <c r="G140"/>
  <c r="H139"/>
  <c r="J138"/>
  <c r="M137"/>
  <c r="A137"/>
  <c r="C136"/>
  <c r="D135"/>
  <c r="D134"/>
  <c r="F133"/>
  <c r="J132"/>
  <c r="L131"/>
  <c r="A131"/>
  <c r="A130"/>
  <c r="B129"/>
  <c r="D128"/>
  <c r="H127"/>
  <c r="K126"/>
  <c r="N125"/>
  <c r="D125"/>
  <c r="G124"/>
  <c r="H123"/>
  <c r="L122"/>
  <c r="B122"/>
  <c r="F121"/>
  <c r="K120"/>
  <c r="A120"/>
  <c r="F119"/>
  <c r="K118"/>
  <c r="B118"/>
  <c r="G117"/>
  <c r="L116"/>
  <c r="B116"/>
  <c r="F115"/>
  <c r="K114"/>
  <c r="B114"/>
  <c r="G113"/>
  <c r="L112"/>
  <c r="C112"/>
  <c r="F111"/>
  <c r="L110"/>
  <c r="D110"/>
  <c r="J109"/>
  <c r="B109"/>
  <c r="H108"/>
  <c r="N107"/>
  <c r="F107"/>
  <c r="L106"/>
  <c r="N105"/>
  <c r="F105"/>
  <c r="L104"/>
  <c r="D104"/>
  <c r="J103"/>
  <c r="B103"/>
  <c r="G102"/>
  <c r="L101"/>
  <c r="D101"/>
  <c r="J100"/>
  <c r="B100"/>
  <c r="H99"/>
  <c r="N98"/>
  <c r="F98"/>
  <c r="L97"/>
  <c r="A97"/>
  <c r="G96"/>
  <c r="M95"/>
  <c r="E95"/>
  <c r="K94"/>
  <c r="C94"/>
  <c r="I93"/>
  <c r="A93"/>
  <c r="G92"/>
  <c r="M91"/>
  <c r="E91"/>
  <c r="K90"/>
  <c r="C90"/>
  <c r="F89"/>
  <c r="L88"/>
  <c r="B88"/>
  <c r="H87"/>
  <c r="N86"/>
  <c r="F86"/>
  <c r="L85"/>
  <c r="D85"/>
  <c r="J84"/>
  <c r="B84"/>
  <c r="H83"/>
  <c r="N82"/>
  <c r="F82"/>
  <c r="L81"/>
  <c r="D81"/>
  <c r="J80"/>
  <c r="B80"/>
  <c r="G79"/>
  <c r="M78"/>
  <c r="E78"/>
  <c r="K77"/>
  <c r="C77"/>
  <c r="I76"/>
  <c r="A76"/>
  <c r="G75"/>
  <c r="M74"/>
  <c r="E74"/>
  <c r="K73"/>
  <c r="C73"/>
  <c r="H72"/>
  <c r="N71"/>
  <c r="F71"/>
  <c r="L70"/>
  <c r="D70"/>
  <c r="J69"/>
  <c r="B69"/>
  <c r="H68"/>
  <c r="N67"/>
  <c r="F67"/>
  <c r="L66"/>
  <c r="D66"/>
  <c r="J65"/>
  <c r="B65"/>
  <c r="H64"/>
  <c r="N63"/>
  <c r="F63"/>
  <c r="L62"/>
  <c r="C62"/>
  <c r="I61"/>
  <c r="A61"/>
  <c r="G60"/>
  <c r="M59"/>
  <c r="E59"/>
  <c r="I58"/>
  <c r="A58"/>
  <c r="E57"/>
  <c r="K56"/>
  <c r="C56"/>
  <c r="I55"/>
  <c r="A55"/>
  <c r="G54"/>
  <c r="M53"/>
  <c r="E53"/>
  <c r="K52"/>
  <c r="B52"/>
  <c r="H51"/>
  <c r="N50"/>
  <c r="F50"/>
  <c r="L49"/>
  <c r="D49"/>
  <c r="I48"/>
  <c r="A48"/>
  <c r="F47"/>
  <c r="L46"/>
  <c r="D46"/>
  <c r="J45"/>
  <c r="B45"/>
  <c r="F44"/>
  <c r="L43"/>
  <c r="D43"/>
  <c r="J42"/>
  <c r="B42"/>
  <c r="H41"/>
  <c r="N40"/>
  <c r="F40"/>
  <c r="L39"/>
  <c r="C39"/>
  <c r="I38"/>
  <c r="A38"/>
  <c r="G37"/>
  <c r="M36"/>
  <c r="E36"/>
  <c r="K35"/>
  <c r="B35"/>
  <c r="H34"/>
  <c r="N33"/>
  <c r="F33"/>
  <c r="L32"/>
  <c r="B32"/>
  <c r="H31"/>
  <c r="N30"/>
  <c r="F30"/>
  <c r="L29"/>
  <c r="C29"/>
  <c r="I28"/>
  <c r="A28"/>
  <c r="G27"/>
  <c r="M26"/>
  <c r="C26"/>
  <c r="I25"/>
  <c r="A25"/>
  <c r="F24"/>
  <c r="L23"/>
  <c r="D23"/>
  <c r="J22"/>
  <c r="B22"/>
  <c r="G21"/>
  <c r="M20"/>
  <c r="E20"/>
  <c r="K19"/>
  <c r="C19"/>
  <c r="I18"/>
  <c r="A18"/>
  <c r="G17"/>
  <c r="M16"/>
  <c r="E16"/>
  <c r="K15"/>
  <c r="C15"/>
  <c r="H14"/>
  <c r="N13"/>
  <c r="F13"/>
  <c r="L12"/>
  <c r="D12"/>
  <c r="J11"/>
  <c r="A11"/>
  <c r="F10"/>
  <c r="L9"/>
  <c r="D9"/>
  <c r="J8"/>
  <c r="B8"/>
  <c r="H7"/>
  <c r="M6"/>
  <c r="E6"/>
  <c r="I222" i="3"/>
  <c r="M403" i="1"/>
  <c r="H295"/>
  <c r="J226"/>
  <c r="D173"/>
  <c r="A144"/>
  <c r="M126"/>
  <c r="L114"/>
  <c r="M106"/>
  <c r="M101"/>
  <c r="B97"/>
  <c r="J93"/>
  <c r="D90"/>
  <c r="A87"/>
  <c r="I83"/>
  <c r="H79"/>
  <c r="J76"/>
  <c r="D73"/>
  <c r="K69"/>
  <c r="M66"/>
  <c r="I64"/>
  <c r="B61"/>
  <c r="F57"/>
  <c r="H54"/>
  <c r="I51"/>
  <c r="B48"/>
  <c r="C45"/>
  <c r="C42"/>
  <c r="M39"/>
  <c r="N36"/>
  <c r="G33"/>
  <c r="A31"/>
  <c r="J28"/>
  <c r="H27"/>
  <c r="B25"/>
  <c r="E23"/>
  <c r="F20"/>
  <c r="H17"/>
  <c r="I14"/>
  <c r="E12"/>
  <c r="E9"/>
  <c r="F6"/>
  <c r="K302" i="2"/>
  <c r="H210"/>
  <c r="C171"/>
  <c r="K131"/>
  <c r="K83"/>
  <c r="A34"/>
  <c r="A596" i="1"/>
  <c r="D579"/>
  <c r="C570"/>
  <c r="C555"/>
  <c r="M547"/>
  <c r="B532"/>
  <c r="A523"/>
  <c r="D506"/>
  <c r="C497"/>
  <c r="A481"/>
  <c r="M471"/>
  <c r="C455"/>
  <c r="A447"/>
  <c r="M438"/>
  <c r="A426"/>
  <c r="D408"/>
  <c r="C400"/>
  <c r="D387"/>
  <c r="C376"/>
  <c r="B368"/>
  <c r="L358"/>
  <c r="E353"/>
  <c r="D349"/>
  <c r="J343"/>
  <c r="K336"/>
  <c r="K332"/>
  <c r="D326"/>
  <c r="J322"/>
  <c r="K316"/>
  <c r="F311"/>
  <c r="D306"/>
  <c r="I300"/>
  <c r="M293"/>
  <c r="G288"/>
  <c r="E281"/>
  <c r="I274"/>
  <c r="L263"/>
  <c r="M256"/>
  <c r="M249"/>
  <c r="K242"/>
  <c r="L237"/>
  <c r="F230"/>
  <c r="B221"/>
  <c r="G212"/>
  <c r="E201"/>
  <c r="E192"/>
  <c r="B187"/>
  <c r="K181"/>
  <c r="F177"/>
  <c r="F173"/>
  <c r="B169"/>
  <c r="B164"/>
  <c r="F160"/>
  <c r="B157"/>
  <c r="E155"/>
  <c r="J151"/>
  <c r="E148"/>
  <c r="H146"/>
  <c r="D143"/>
  <c r="K139"/>
  <c r="F136"/>
  <c r="I133"/>
  <c r="C130"/>
  <c r="N126"/>
  <c r="M123"/>
  <c r="M120"/>
  <c r="M118"/>
  <c r="I115"/>
  <c r="N112"/>
  <c r="F110"/>
  <c r="B108"/>
  <c r="H105"/>
  <c r="L103"/>
  <c r="N101"/>
  <c r="D100"/>
  <c r="N97"/>
  <c r="I96"/>
  <c r="E94"/>
  <c r="C93"/>
  <c r="G91"/>
  <c r="K89"/>
  <c r="B87"/>
  <c r="L84"/>
  <c r="H82"/>
  <c r="F81"/>
  <c r="A79"/>
  <c r="E77"/>
  <c r="I75"/>
  <c r="G74"/>
  <c r="B72"/>
  <c r="N70"/>
  <c r="J68"/>
  <c r="F66"/>
  <c r="B64"/>
  <c r="N62"/>
  <c r="I60"/>
  <c r="G59"/>
  <c r="M56"/>
  <c r="C55"/>
  <c r="G53"/>
  <c r="D52"/>
  <c r="F49"/>
  <c r="N46"/>
  <c r="L45"/>
  <c r="F43"/>
  <c r="B41"/>
  <c r="K38"/>
  <c r="A37"/>
  <c r="J34"/>
  <c r="D32"/>
  <c r="N29"/>
  <c r="C28"/>
  <c r="E26"/>
  <c r="N23"/>
  <c r="G20"/>
  <c r="E19"/>
  <c r="A17"/>
  <c r="J14"/>
  <c r="L11"/>
  <c r="N9"/>
  <c r="J7"/>
  <c r="D118" i="4"/>
  <c r="B575" i="1"/>
  <c r="A515"/>
  <c r="D455"/>
  <c r="D400"/>
  <c r="M358"/>
  <c r="H340"/>
  <c r="F321"/>
  <c r="K306"/>
  <c r="A294"/>
  <c r="C283"/>
  <c r="E273"/>
  <c r="F260"/>
  <c r="G248"/>
  <c r="G241"/>
  <c r="A233"/>
  <c r="E223"/>
  <c r="H212"/>
  <c r="F205"/>
  <c r="G194"/>
  <c r="E187"/>
  <c r="A182"/>
  <c r="G177"/>
  <c r="H171"/>
  <c r="D164"/>
  <c r="G160"/>
  <c r="D157"/>
  <c r="J153"/>
  <c r="E149"/>
  <c r="A145"/>
  <c r="M140"/>
  <c r="E137"/>
  <c r="N132"/>
  <c r="F129"/>
  <c r="A127"/>
  <c r="B123"/>
  <c r="J119"/>
  <c r="E116"/>
  <c r="F114"/>
  <c r="A111"/>
  <c r="C108"/>
  <c r="A105"/>
  <c r="A102"/>
  <c r="I98"/>
  <c r="N94"/>
  <c r="H91"/>
  <c r="K87"/>
  <c r="E84"/>
  <c r="A82"/>
  <c r="B79"/>
  <c r="F77"/>
  <c r="H74"/>
  <c r="K72"/>
  <c r="M69"/>
  <c r="A67"/>
  <c r="E65"/>
  <c r="I63"/>
  <c r="B60"/>
  <c r="N56"/>
  <c r="B54"/>
  <c r="G49"/>
  <c r="J47"/>
  <c r="G43"/>
  <c r="L38"/>
  <c r="E35"/>
  <c r="E32"/>
  <c r="D28"/>
  <c r="J24"/>
  <c r="N19"/>
  <c r="F15"/>
  <c r="J10"/>
  <c r="K7"/>
  <c r="C338"/>
  <c r="H107"/>
  <c r="E56"/>
  <c r="F23"/>
  <c r="G6"/>
  <c r="M274" i="2"/>
  <c r="A439" i="1"/>
  <c r="E326"/>
  <c r="M267"/>
  <c r="B216"/>
  <c r="H175"/>
  <c r="C150"/>
  <c r="H135"/>
  <c r="H125"/>
  <c r="E118"/>
  <c r="I111"/>
  <c r="C106"/>
  <c r="M100"/>
  <c r="B96"/>
  <c r="J92"/>
  <c r="A89"/>
  <c r="M84"/>
  <c r="M80"/>
  <c r="L76"/>
  <c r="I71"/>
  <c r="I67"/>
  <c r="A63"/>
  <c r="H57"/>
  <c r="K51"/>
  <c r="M45"/>
  <c r="C41"/>
  <c r="H36"/>
  <c r="K31"/>
  <c r="J27"/>
  <c r="M22"/>
  <c r="D18"/>
  <c r="A13"/>
  <c r="H6"/>
</calcChain>
</file>

<file path=xl/sharedStrings.xml><?xml version="1.0" encoding="utf-8"?>
<sst xmlns="http://schemas.openxmlformats.org/spreadsheetml/2006/main" count="164" uniqueCount="94">
  <si>
    <t>Показ работ состоится 02.03 с 18:00 до 20:00 в ФМЛ №30</t>
  </si>
  <si>
    <t>Награждение состоится 23.03 в ФМЛ № 30: 1-2 класс в 18:30, 3-4 класс в 19:30</t>
  </si>
  <si>
    <t>Вскоре мы разместим достижения в Вашем Личном кабинете на сайте</t>
  </si>
  <si>
    <t>Для поиска своей фамилии воспользуйтесь CTRL+F</t>
  </si>
  <si>
    <t>Номера задач</t>
  </si>
  <si>
    <t>Критерии 1 класса</t>
  </si>
  <si>
    <t>Баллы</t>
  </si>
  <si>
    <t>Верный ответ Саня –1, Маня и Ваня – 2, Аня – 5</t>
  </si>
  <si>
    <t>Ошибка в одной из цифр или перепутано имя сестры Вани</t>
  </si>
  <si>
    <t>Другие ответы</t>
  </si>
  <si>
    <t>Четка линия, пересекающая нужные фигуры</t>
  </si>
  <si>
    <t>Недоведенная линия, продолжение которой пересекает нужные фигуры</t>
  </si>
  <si>
    <t>Линия не пересекает разное количество фигур или не все их типы</t>
  </si>
  <si>
    <t>Верный ответ В С В С В С В С В С</t>
  </si>
  <si>
    <t>Верный ответ 15 машин</t>
  </si>
  <si>
    <t>60 машин (верно определено количество колес)</t>
  </si>
  <si>
    <t>5 машин (верно определено количество машин, обслуженных одним автомехаником)</t>
  </si>
  <si>
    <t>2 балла – за каждый верный вариант (1-4-2-5-6, 2-4-3-6-5 или 1-2-3-6-4)</t>
  </si>
  <si>
    <t>Минус 1 балл – за каждый неверный вариант при наличии верных</t>
  </si>
  <si>
    <t>Правильный ответ 12 марсиан</t>
  </si>
  <si>
    <t>6 марсиан (верно указано количество пар)</t>
  </si>
  <si>
    <t>Правильный ответ 12 грамм</t>
  </si>
  <si>
    <t>Правильный ответ Квадрик</t>
  </si>
  <si>
    <t>Критерии 2 класса</t>
  </si>
  <si>
    <t>Верный ответ, верное решение</t>
  </si>
  <si>
    <t xml:space="preserve">Указаны маршруты, но их 7 или 9 </t>
  </si>
  <si>
    <t xml:space="preserve">Верный ответ без перечисления маршрутов </t>
  </si>
  <si>
    <t>Указаны маршруты, но их 6 или 10</t>
  </si>
  <si>
    <t>Остальное</t>
  </si>
  <si>
    <t xml:space="preserve">Решение неверное, но есть ровно 5 треугольников </t>
  </si>
  <si>
    <t>Неверно</t>
  </si>
  <si>
    <t>Верный ответ, но не указан или лишний 1 крестик</t>
  </si>
  <si>
    <t xml:space="preserve">Верный ответ, верное решение </t>
  </si>
  <si>
    <t xml:space="preserve">Верный ответ, но решение неполное </t>
  </si>
  <si>
    <t xml:space="preserve">Ответ с примером </t>
  </si>
  <si>
    <t xml:space="preserve">Только ответ </t>
  </si>
  <si>
    <t>Верный ответ с неполным решением</t>
  </si>
  <si>
    <t>Ответ 26, решение есть, но забыли отнять 1</t>
  </si>
  <si>
    <t xml:space="preserve">Неверный ответ, но есть правильная мысль </t>
  </si>
  <si>
    <t xml:space="preserve">Верный ответ и неполное решения </t>
  </si>
  <si>
    <t xml:space="preserve">Неверный ответ, решение есть, но с ошибкой </t>
  </si>
  <si>
    <t xml:space="preserve">Указано, что И=9, но есть ошибки в решении </t>
  </si>
  <si>
    <t>Критерии 3 класса</t>
  </si>
  <si>
    <t xml:space="preserve">Верный ответ, решение есть, но неполное </t>
  </si>
  <si>
    <t xml:space="preserve">Верный ответ и понятный рисунок с 9 частями </t>
  </si>
  <si>
    <t xml:space="preserve">Верная картинка, но ответ не 9 </t>
  </si>
  <si>
    <t xml:space="preserve">Ответ 9, но неверная картинка </t>
  </si>
  <si>
    <t xml:space="preserve">8 частей и картинка </t>
  </si>
  <si>
    <t xml:space="preserve">7 частей и картинка </t>
  </si>
  <si>
    <t xml:space="preserve">Верный ответ и неполное решение </t>
  </si>
  <si>
    <t xml:space="preserve">Только ответ или ответ с проверкой </t>
  </si>
  <si>
    <t>Верный ответ, неполное решение, но сказано про ограничение сверху 56</t>
  </si>
  <si>
    <t xml:space="preserve">Верный ответ и неполное решение или рисунок </t>
  </si>
  <si>
    <t xml:space="preserve">Верный ответ и решение с недочетом </t>
  </si>
  <si>
    <t xml:space="preserve">Неверный ответ больше 30 и решение к нему </t>
  </si>
  <si>
    <t xml:space="preserve">Неверный ответ меньше 30 и решение к нему </t>
  </si>
  <si>
    <t xml:space="preserve">Примеры расположения и мысли </t>
  </si>
  <si>
    <t xml:space="preserve">Примеры расположения </t>
  </si>
  <si>
    <t xml:space="preserve">Ответ, верное решение и верная картинка </t>
  </si>
  <si>
    <t xml:space="preserve">Ответ, верная картинка и неполное решение </t>
  </si>
  <si>
    <t xml:space="preserve">Только ответ и верная картинка </t>
  </si>
  <si>
    <t xml:space="preserve">Верное решение без картинки </t>
  </si>
  <si>
    <t xml:space="preserve">Картинка на 15, верное решение для этого ответа </t>
  </si>
  <si>
    <t xml:space="preserve">Только ответ без картинки и решения </t>
  </si>
  <si>
    <t>Картинка на 15</t>
  </si>
  <si>
    <t xml:space="preserve">Ответ 10 и неверное его объяснение </t>
  </si>
  <si>
    <t xml:space="preserve">Ответ и примеры с попыткой обобщения </t>
  </si>
  <si>
    <t>Ответ и примеры</t>
  </si>
  <si>
    <t xml:space="preserve">Ответ и мысли или частный случай </t>
  </si>
  <si>
    <t>Критерии 4 класса</t>
  </si>
  <si>
    <t xml:space="preserve">Верный ответ </t>
  </si>
  <si>
    <t>Ответ 12 или 14</t>
  </si>
  <si>
    <t xml:space="preserve">Иные ответы </t>
  </si>
  <si>
    <t>Верное решение</t>
  </si>
  <si>
    <t>Найдена проблема, упомянут эффект переноса, но неверно</t>
  </si>
  <si>
    <t>Найдена проблема (А-А или одинаковые цифры в разряде десятков), но не упомянут эффект переноса</t>
  </si>
  <si>
    <t xml:space="preserve">Рассуждение на конкретном примере </t>
  </si>
  <si>
    <t xml:space="preserve">Доказательство того, что Ваня принёс 11 роз </t>
  </si>
  <si>
    <t xml:space="preserve">Ответ «Ваня Ане на 4» </t>
  </si>
  <si>
    <t xml:space="preserve">Только ответ «Ваня Ане» </t>
  </si>
  <si>
    <t xml:space="preserve">Верно написанный пример </t>
  </si>
  <si>
    <t xml:space="preserve">Верно написанный пример с незначительной арифметической ошибкой </t>
  </si>
  <si>
    <t xml:space="preserve">Верно написанный пример со значительной ошибкой </t>
  </si>
  <si>
    <t xml:space="preserve">Только ответ «да» </t>
  </si>
  <si>
    <t xml:space="preserve">Верное доказательство без примера (если пример не следует из доказательства) </t>
  </si>
  <si>
    <t xml:space="preserve">Конкретный пример, кто рыцарь, кто хитрец </t>
  </si>
  <si>
    <t xml:space="preserve">Только правильный ответ </t>
  </si>
  <si>
    <t>Незначительная ошибка</t>
  </si>
  <si>
    <t>Первый сгиб произведён правильно</t>
  </si>
  <si>
    <t>Вырезаен уголок не из центра (например, вырезаен квадрат с края доски, после чего остаётся уголок)</t>
  </si>
  <si>
    <t xml:space="preserve">Оценка без примера </t>
  </si>
  <si>
    <t xml:space="preserve">Упоминание о том, что хотя бы у 10 человек не менее 7 очков </t>
  </si>
  <si>
    <t>Пропущен кусок рассуждения, объясняющий, что «чёрных» и «белых» казябр должно быть поровну</t>
  </si>
  <si>
    <t xml:space="preserve">Упоминание о шахматной раскраске и о том, почему она может помочь 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</si>
</sst>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</font>
    <font>
      <b/>
      <sz val="14"/>
      <color rgb="FFFF000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4"/>
      <name val="Arial"/>
    </font>
    <font>
      <sz val="12"/>
      <name val="Arial"/>
    </font>
    <font>
      <sz val="12"/>
      <color rgb="FF00000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4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629"/>
  <sheetViews>
    <sheetView workbookViewId="0">
      <pane ySplit="7" topLeftCell="A8" activePane="bottomLeft" state="frozen"/>
      <selection pane="bottomLeft" activeCell="A8" sqref="A8:XFD8"/>
    </sheetView>
  </sheetViews>
  <sheetFormatPr defaultColWidth="12.61328125" defaultRowHeight="15" customHeight="1"/>
  <cols>
    <col min="1" max="1" width="8.3828125" customWidth="1"/>
    <col min="4" max="4" width="17.3828125" customWidth="1"/>
    <col min="5" max="13" width="5.23046875" customWidth="1"/>
  </cols>
  <sheetData>
    <row r="1" spans="1:27" ht="17.60000000000000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600000000000001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600000000000001">
      <c r="A3" s="4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600000000000001">
      <c r="A4" s="4" t="s">
        <v>3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600000000000001" hidden="1">
      <c r="A5" t="str">
        <f ca="1">IFERROR(__xludf.DUMMYFUNCTION("IMPORTRANGE(""https://docs.google.com/spreadsheets/d/1d0Bb4o7lzKT3yBaERn16Vqc645t23wzs8oXZmhT8Li4/edit#gid=204709947"",""'Итоги 1'!A:C"")"),"")</f>
        <v/>
      </c>
      <c r="D5" t="str">
        <f ca="1">IFERROR(__xludf.DUMMYFUNCTION("IMPORTRANGE(""https://docs.google.com/spreadsheets/d/1d0Bb4o7lzKT3yBaERn16Vqc645t23wzs8oXZmhT8Li4/edit#gid=204709947"",""'Итоги 1'!E:E"")"),"")</f>
        <v/>
      </c>
      <c r="E5" s="5" t="str">
        <f ca="1">IFERROR(__xludf.DUMMYFUNCTION("IMPORTRANGE(""https://docs.google.com/spreadsheets/d/1d0Bb4o7lzKT3yBaERn16Vqc645t23wzs8oXZmhT8Li4/edit#gid=204709947"",""'Итоги 1'!S:AB"")"),"ОЧНЫЙ ТУР. Вторая проверка")</f>
        <v>ОЧНЫЙ ТУР. Вторая проверка</v>
      </c>
      <c r="F5" s="5"/>
      <c r="G5" s="5"/>
      <c r="H5" s="5"/>
      <c r="I5" s="5"/>
      <c r="J5" s="5"/>
      <c r="K5" s="5"/>
      <c r="L5" s="5">
        <f ca="1">IFERROR(__xludf.DUMMYFUNCTION("""COMPUTED_VALUE"""),347)</f>
        <v>347</v>
      </c>
      <c r="N5" s="2"/>
    </row>
    <row r="6" spans="1:27" ht="17.600000000000001" hidden="1">
      <c r="E6" s="5">
        <f ca="1">IFERROR(__xludf.DUMMYFUNCTION("""COMPUTED_VALUE"""),415)</f>
        <v>415</v>
      </c>
      <c r="F6" s="5">
        <f ca="1">IFERROR(__xludf.DUMMYFUNCTION("""COMPUTED_VALUE"""),362)</f>
        <v>362</v>
      </c>
      <c r="G6" s="5">
        <f ca="1">IFERROR(__xludf.DUMMYFUNCTION("""COMPUTED_VALUE"""),728)</f>
        <v>728</v>
      </c>
      <c r="H6" s="5">
        <f ca="1">IFERROR(__xludf.DUMMYFUNCTION("""COMPUTED_VALUE"""),214)</f>
        <v>214</v>
      </c>
      <c r="I6" s="5">
        <f ca="1">IFERROR(__xludf.DUMMYFUNCTION("""COMPUTED_VALUE"""),64)</f>
        <v>64</v>
      </c>
      <c r="J6" s="5">
        <f ca="1">IFERROR(__xludf.DUMMYFUNCTION("""COMPUTED_VALUE"""),456)</f>
        <v>456</v>
      </c>
      <c r="K6" s="5">
        <f ca="1">IFERROR(__xludf.DUMMYFUNCTION("""COMPUTED_VALUE"""),388)</f>
        <v>388</v>
      </c>
      <c r="L6" s="5">
        <f ca="1">IFERROR(__xludf.DUMMYFUNCTION("""COMPUTED_VALUE"""),285)</f>
        <v>285</v>
      </c>
      <c r="M6">
        <f ca="1">IFERROR(__xludf.DUMMYFUNCTION("""COMPUTED_VALUE"""),2912)</f>
        <v>2912</v>
      </c>
      <c r="N6" s="2"/>
    </row>
    <row r="7" spans="1:27" ht="12.45">
      <c r="A7" s="6" t="str">
        <f ca="1">IFERROR(__xludf.DUMMYFUNCTION("""COMPUTED_VALUE"""),"Регистрационный номер")</f>
        <v>Регистрационный номер</v>
      </c>
      <c r="B7" s="6" t="str">
        <f ca="1">IFERROR(__xludf.DUMMYFUNCTION("""COMPUTED_VALUE"""),"Фамилия")</f>
        <v>Фамилия</v>
      </c>
      <c r="C7" s="6" t="str">
        <f ca="1">IFERROR(__xludf.DUMMYFUNCTION("""COMPUTED_VALUE"""),"Имя")</f>
        <v>Имя</v>
      </c>
      <c r="D7" s="6" t="str">
        <f ca="1">IFERROR(__xludf.DUMMYFUNCTION("""COMPUTED_VALUE"""),"Школа")</f>
        <v>Школа</v>
      </c>
      <c r="E7" s="7">
        <f ca="1">IFERROR(__xludf.DUMMYFUNCTION("""COMPUTED_VALUE"""),1)</f>
        <v>1</v>
      </c>
      <c r="F7" s="7">
        <f ca="1">IFERROR(__xludf.DUMMYFUNCTION("""COMPUTED_VALUE"""),2)</f>
        <v>2</v>
      </c>
      <c r="G7" s="7">
        <f ca="1">IFERROR(__xludf.DUMMYFUNCTION("""COMPUTED_VALUE"""),3)</f>
        <v>3</v>
      </c>
      <c r="H7" s="7">
        <f ca="1">IFERROR(__xludf.DUMMYFUNCTION("""COMPUTED_VALUE"""),4)</f>
        <v>4</v>
      </c>
      <c r="I7" s="7">
        <f ca="1">IFERROR(__xludf.DUMMYFUNCTION("""COMPUTED_VALUE"""),5)</f>
        <v>5</v>
      </c>
      <c r="J7" s="7">
        <f ca="1">IFERROR(__xludf.DUMMYFUNCTION("""COMPUTED_VALUE"""),6)</f>
        <v>6</v>
      </c>
      <c r="K7" s="7">
        <f ca="1">IFERROR(__xludf.DUMMYFUNCTION("""COMPUTED_VALUE"""),7)</f>
        <v>7</v>
      </c>
      <c r="L7" s="7">
        <f ca="1">IFERROR(__xludf.DUMMYFUNCTION("""COMPUTED_VALUE"""),8)</f>
        <v>8</v>
      </c>
      <c r="M7" s="6" t="str">
        <f ca="1">IFERROR(__xludf.DUMMYFUNCTION("""COMPUTED_VALUE"""),"Итого очный 2")</f>
        <v>Итого очный 2</v>
      </c>
      <c r="N7" s="6" t="str">
        <f ca="1">IFERROR(__xludf.DUMMYFUNCTION("""COMPUTED_VALUE"""),"Награда")</f>
        <v>Награда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2.45">
      <c r="A8" t="str">
        <f ca="1">IFERROR(__xludf.DUMMYFUNCTION("""COMPUTED_VALUE"""),"III-1-253")</f>
        <v>III-1-253</v>
      </c>
      <c r="B8" t="str">
        <f ca="1">IFERROR(__xludf.DUMMYFUNCTION("""COMPUTED_VALUE"""),"Коротеев")</f>
        <v>Коротеев</v>
      </c>
      <c r="C8" t="str">
        <f ca="1">IFERROR(__xludf.DUMMYFUNCTION("""COMPUTED_VALUE"""),"Семён")</f>
        <v>Семён</v>
      </c>
      <c r="D8" t="str">
        <f ca="1">IFERROR(__xludf.DUMMYFUNCTION("""COMPUTED_VALUE"""),"Лицей 470")</f>
        <v>Лицей 470</v>
      </c>
      <c r="E8" s="5">
        <f ca="1">IFERROR(__xludf.DUMMYFUNCTION("""COMPUTED_VALUE"""),2)</f>
        <v>2</v>
      </c>
      <c r="F8" s="5">
        <f ca="1">IFERROR(__xludf.DUMMYFUNCTION("""COMPUTED_VALUE"""),3)</f>
        <v>3</v>
      </c>
      <c r="G8" s="5">
        <f ca="1">IFERROR(__xludf.DUMMYFUNCTION("""COMPUTED_VALUE"""),3)</f>
        <v>3</v>
      </c>
      <c r="H8" s="5">
        <f ca="1">IFERROR(__xludf.DUMMYFUNCTION("""COMPUTED_VALUE"""),5)</f>
        <v>5</v>
      </c>
      <c r="I8" s="5">
        <f ca="1">IFERROR(__xludf.DUMMYFUNCTION("""COMPUTED_VALUE"""),2)</f>
        <v>2</v>
      </c>
      <c r="J8" s="5">
        <f ca="1">IFERROR(__xludf.DUMMYFUNCTION("""COMPUTED_VALUE"""),4)</f>
        <v>4</v>
      </c>
      <c r="K8" s="5">
        <f ca="1">IFERROR(__xludf.DUMMYFUNCTION("""COMPUTED_VALUE"""),4)</f>
        <v>4</v>
      </c>
      <c r="L8" s="5">
        <f ca="1">IFERROR(__xludf.DUMMYFUNCTION("""COMPUTED_VALUE"""),1)</f>
        <v>1</v>
      </c>
      <c r="M8">
        <f ca="1">IFERROR(__xludf.DUMMYFUNCTION("""COMPUTED_VALUE"""),24)</f>
        <v>24</v>
      </c>
      <c r="N8" s="8" t="str">
        <f ca="1">IFERROR(__xludf.DUMMYFUNCTION("""COMPUTED_VALUE"""),"Д1")</f>
        <v>Д1</v>
      </c>
    </row>
    <row r="9" spans="1:27" ht="12.45" hidden="1">
      <c r="A9" t="str">
        <f ca="1">IFERROR(__xludf.DUMMYFUNCTION("""COMPUTED_VALUE"""),"V-1-413")</f>
        <v>V-1-413</v>
      </c>
      <c r="B9" t="str">
        <f ca="1">IFERROR(__xludf.DUMMYFUNCTION("""COMPUTED_VALUE"""),"Полякова")</f>
        <v>Полякова</v>
      </c>
      <c r="C9" t="str">
        <f ca="1">IFERROR(__xludf.DUMMYFUNCTION("""COMPUTED_VALUE"""),"София")</f>
        <v>София</v>
      </c>
      <c r="D9" t="str">
        <f ca="1">IFERROR(__xludf.DUMMYFUNCTION("""COMPUTED_VALUE"""),"Школа Квадривиум")</f>
        <v>Школа Квадривиум</v>
      </c>
      <c r="E9" s="5">
        <f ca="1">IFERROR(__xludf.DUMMYFUNCTION("""COMPUTED_VALUE"""),2)</f>
        <v>2</v>
      </c>
      <c r="F9" s="5">
        <f ca="1">IFERROR(__xludf.DUMMYFUNCTION("""COMPUTED_VALUE"""),3)</f>
        <v>3</v>
      </c>
      <c r="G9" s="5">
        <f ca="1">IFERROR(__xludf.DUMMYFUNCTION("""COMPUTED_VALUE"""),3)</f>
        <v>3</v>
      </c>
      <c r="H9" s="5">
        <f ca="1">IFERROR(__xludf.DUMMYFUNCTION("""COMPUTED_VALUE"""),5)</f>
        <v>5</v>
      </c>
      <c r="I9" s="5">
        <f ca="1">IFERROR(__xludf.DUMMYFUNCTION("""COMPUTED_VALUE"""),0)</f>
        <v>0</v>
      </c>
      <c r="J9" s="5">
        <f ca="1">IFERROR(__xludf.DUMMYFUNCTION("""COMPUTED_VALUE"""),4)</f>
        <v>4</v>
      </c>
      <c r="K9" s="5">
        <f ca="1">IFERROR(__xludf.DUMMYFUNCTION("""COMPUTED_VALUE"""),4)</f>
        <v>4</v>
      </c>
      <c r="L9" s="5">
        <f ca="1">IFERROR(__xludf.DUMMYFUNCTION("""COMPUTED_VALUE"""),1)</f>
        <v>1</v>
      </c>
      <c r="M9">
        <f ca="1">IFERROR(__xludf.DUMMYFUNCTION("""COMPUTED_VALUE"""),22)</f>
        <v>22</v>
      </c>
      <c r="N9" s="8" t="str">
        <f ca="1">IFERROR(__xludf.DUMMYFUNCTION("""COMPUTED_VALUE"""),"Д1")</f>
        <v>Д1</v>
      </c>
    </row>
    <row r="10" spans="1:27" ht="12.45" hidden="1">
      <c r="A10" t="str">
        <f ca="1">IFERROR(__xludf.DUMMYFUNCTION("""COMPUTED_VALUE"""),"V-1-384")</f>
        <v>V-1-384</v>
      </c>
      <c r="B10" t="str">
        <f ca="1">IFERROR(__xludf.DUMMYFUNCTION("""COMPUTED_VALUE"""),"Падерин")</f>
        <v>Падерин</v>
      </c>
      <c r="C10" t="str">
        <f ca="1">IFERROR(__xludf.DUMMYFUNCTION("""COMPUTED_VALUE"""),"Андрей")</f>
        <v>Андрей</v>
      </c>
      <c r="D10" t="str">
        <f ca="1">IFERROR(__xludf.DUMMYFUNCTION("""COMPUTED_VALUE"""),"Лицей 344")</f>
        <v>Лицей 344</v>
      </c>
      <c r="E10" s="5">
        <f ca="1">IFERROR(__xludf.DUMMYFUNCTION("""COMPUTED_VALUE"""),2)</f>
        <v>2</v>
      </c>
      <c r="F10" s="5">
        <f ca="1">IFERROR(__xludf.DUMMYFUNCTION("""COMPUTED_VALUE"""),3)</f>
        <v>3</v>
      </c>
      <c r="G10" s="5">
        <f ca="1">IFERROR(__xludf.DUMMYFUNCTION("""COMPUTED_VALUE"""),3)</f>
        <v>3</v>
      </c>
      <c r="H10" s="5">
        <f ca="1">IFERROR(__xludf.DUMMYFUNCTION("""COMPUTED_VALUE"""),5)</f>
        <v>5</v>
      </c>
      <c r="I10" s="5"/>
      <c r="J10" s="5">
        <f ca="1">IFERROR(__xludf.DUMMYFUNCTION("""COMPUTED_VALUE"""),4)</f>
        <v>4</v>
      </c>
      <c r="K10" s="5">
        <f ca="1">IFERROR(__xludf.DUMMYFUNCTION("""COMPUTED_VALUE"""),4)</f>
        <v>4</v>
      </c>
      <c r="L10" s="5">
        <f ca="1">IFERROR(__xludf.DUMMYFUNCTION("""COMPUTED_VALUE"""),1)</f>
        <v>1</v>
      </c>
      <c r="M10">
        <f ca="1">IFERROR(__xludf.DUMMYFUNCTION("""COMPUTED_VALUE"""),22)</f>
        <v>22</v>
      </c>
      <c r="N10" s="8" t="str">
        <f ca="1">IFERROR(__xludf.DUMMYFUNCTION("""COMPUTED_VALUE"""),"Д1")</f>
        <v>Д1</v>
      </c>
    </row>
    <row r="11" spans="1:27" ht="12.45" hidden="1">
      <c r="A11" t="str">
        <f ca="1">IFERROR(__xludf.DUMMYFUNCTION("""COMPUTED_VALUE"""),"V-1-430")</f>
        <v>V-1-430</v>
      </c>
      <c r="B11" t="str">
        <f ca="1">IFERROR(__xludf.DUMMYFUNCTION("""COMPUTED_VALUE"""),"Радько")</f>
        <v>Радько</v>
      </c>
      <c r="C11" t="str">
        <f ca="1">IFERROR(__xludf.DUMMYFUNCTION("""COMPUTED_VALUE"""),"Александр")</f>
        <v>Александр</v>
      </c>
      <c r="D11" t="str">
        <f ca="1">IFERROR(__xludf.DUMMYFUNCTION("""COMPUTED_VALUE"""),"Школа 358")</f>
        <v>Школа 358</v>
      </c>
      <c r="E11" s="5">
        <f ca="1">IFERROR(__xludf.DUMMYFUNCTION("""COMPUTED_VALUE"""),2)</f>
        <v>2</v>
      </c>
      <c r="F11" s="5">
        <f ca="1">IFERROR(__xludf.DUMMYFUNCTION("""COMPUTED_VALUE"""),3)</f>
        <v>3</v>
      </c>
      <c r="G11" s="5">
        <f ca="1">IFERROR(__xludf.DUMMYFUNCTION("""COMPUTED_VALUE"""),3)</f>
        <v>3</v>
      </c>
      <c r="H11" s="5">
        <f ca="1">IFERROR(__xludf.DUMMYFUNCTION("""COMPUTED_VALUE"""),5)</f>
        <v>5</v>
      </c>
      <c r="I11" s="5"/>
      <c r="J11" s="5">
        <f ca="1">IFERROR(__xludf.DUMMYFUNCTION("""COMPUTED_VALUE"""),4)</f>
        <v>4</v>
      </c>
      <c r="K11" s="5">
        <f ca="1">IFERROR(__xludf.DUMMYFUNCTION("""COMPUTED_VALUE"""),4)</f>
        <v>4</v>
      </c>
      <c r="L11" s="5">
        <f ca="1">IFERROR(__xludf.DUMMYFUNCTION("""COMPUTED_VALUE"""),1)</f>
        <v>1</v>
      </c>
      <c r="M11">
        <f ca="1">IFERROR(__xludf.DUMMYFUNCTION("""COMPUTED_VALUE"""),22)</f>
        <v>22</v>
      </c>
      <c r="N11" s="8" t="str">
        <f ca="1">IFERROR(__xludf.DUMMYFUNCTION("""COMPUTED_VALUE"""),"Д1")</f>
        <v>Д1</v>
      </c>
    </row>
    <row r="12" spans="1:27" ht="12.45" hidden="1">
      <c r="A12" t="str">
        <f ca="1">IFERROR(__xludf.DUMMYFUNCTION("""COMPUTED_VALUE"""),"V-1-449")</f>
        <v>V-1-449</v>
      </c>
      <c r="B12" t="str">
        <f ca="1">IFERROR(__xludf.DUMMYFUNCTION("""COMPUTED_VALUE"""),"Рыбаков")</f>
        <v>Рыбаков</v>
      </c>
      <c r="C12" t="str">
        <f ca="1">IFERROR(__xludf.DUMMYFUNCTION("""COMPUTED_VALUE"""),"Игорь")</f>
        <v>Игорь</v>
      </c>
      <c r="D12" t="str">
        <f ca="1">IFERROR(__xludf.DUMMYFUNCTION("""COMPUTED_VALUE"""),"Гимназия 171")</f>
        <v>Гимназия 171</v>
      </c>
      <c r="E12" s="5">
        <f ca="1">IFERROR(__xludf.DUMMYFUNCTION("""COMPUTED_VALUE"""),2)</f>
        <v>2</v>
      </c>
      <c r="F12" s="5">
        <f ca="1">IFERROR(__xludf.DUMMYFUNCTION("""COMPUTED_VALUE"""),0)</f>
        <v>0</v>
      </c>
      <c r="G12" s="5">
        <f ca="1">IFERROR(__xludf.DUMMYFUNCTION("""COMPUTED_VALUE"""),3)</f>
        <v>3</v>
      </c>
      <c r="H12" s="5">
        <f ca="1">IFERROR(__xludf.DUMMYFUNCTION("""COMPUTED_VALUE"""),5)</f>
        <v>5</v>
      </c>
      <c r="I12" s="5">
        <f ca="1">IFERROR(__xludf.DUMMYFUNCTION("""COMPUTED_VALUE"""),2)</f>
        <v>2</v>
      </c>
      <c r="J12" s="5">
        <f ca="1">IFERROR(__xludf.DUMMYFUNCTION("""COMPUTED_VALUE"""),4)</f>
        <v>4</v>
      </c>
      <c r="K12" s="5">
        <f ca="1">IFERROR(__xludf.DUMMYFUNCTION("""COMPUTED_VALUE"""),4)</f>
        <v>4</v>
      </c>
      <c r="L12" s="5">
        <f ca="1">IFERROR(__xludf.DUMMYFUNCTION("""COMPUTED_VALUE"""),1)</f>
        <v>1</v>
      </c>
      <c r="M12">
        <f ca="1">IFERROR(__xludf.DUMMYFUNCTION("""COMPUTED_VALUE"""),21)</f>
        <v>21</v>
      </c>
      <c r="N12" s="8" t="str">
        <f ca="1">IFERROR(__xludf.DUMMYFUNCTION("""COMPUTED_VALUE"""),"Д1")</f>
        <v>Д1</v>
      </c>
    </row>
    <row r="13" spans="1:27" ht="12.45" hidden="1">
      <c r="A13" t="str">
        <f ca="1">IFERROR(__xludf.DUMMYFUNCTION("""COMPUTED_VALUE"""),"V-1-460")</f>
        <v>V-1-460</v>
      </c>
      <c r="B13" t="str">
        <f ca="1">IFERROR(__xludf.DUMMYFUNCTION("""COMPUTED_VALUE"""),"Свердлов")</f>
        <v>Свердлов</v>
      </c>
      <c r="C13" t="str">
        <f ca="1">IFERROR(__xludf.DUMMYFUNCTION("""COMPUTED_VALUE"""),"Александр")</f>
        <v>Александр</v>
      </c>
      <c r="D13" t="str">
        <f ca="1">IFERROR(__xludf.DUMMYFUNCTION("""COMPUTED_VALUE"""),"Школа Квадривиум")</f>
        <v>Школа Квадривиум</v>
      </c>
      <c r="E13" s="5">
        <f ca="1">IFERROR(__xludf.DUMMYFUNCTION("""COMPUTED_VALUE"""),1)</f>
        <v>1</v>
      </c>
      <c r="F13" s="5">
        <f ca="1">IFERROR(__xludf.DUMMYFUNCTION("""COMPUTED_VALUE"""),0)</f>
        <v>0</v>
      </c>
      <c r="G13" s="5">
        <f ca="1">IFERROR(__xludf.DUMMYFUNCTION("""COMPUTED_VALUE"""),3)</f>
        <v>3</v>
      </c>
      <c r="H13" s="5">
        <f ca="1">IFERROR(__xludf.DUMMYFUNCTION("""COMPUTED_VALUE"""),5)</f>
        <v>5</v>
      </c>
      <c r="I13" s="5">
        <f ca="1">IFERROR(__xludf.DUMMYFUNCTION("""COMPUTED_VALUE"""),2)</f>
        <v>2</v>
      </c>
      <c r="J13" s="5">
        <f ca="1">IFERROR(__xludf.DUMMYFUNCTION("""COMPUTED_VALUE"""),4)</f>
        <v>4</v>
      </c>
      <c r="K13" s="5">
        <f ca="1">IFERROR(__xludf.DUMMYFUNCTION("""COMPUTED_VALUE"""),4)</f>
        <v>4</v>
      </c>
      <c r="L13" s="5">
        <f ca="1">IFERROR(__xludf.DUMMYFUNCTION("""COMPUTED_VALUE"""),1)</f>
        <v>1</v>
      </c>
      <c r="M13">
        <f ca="1">IFERROR(__xludf.DUMMYFUNCTION("""COMPUTED_VALUE"""),20)</f>
        <v>20</v>
      </c>
      <c r="N13" s="8" t="str">
        <f ca="1">IFERROR(__xludf.DUMMYFUNCTION("""COMPUTED_VALUE"""),"Д2")</f>
        <v>Д2</v>
      </c>
    </row>
    <row r="14" spans="1:27" ht="12.45" hidden="1">
      <c r="A14" t="str">
        <f ca="1">IFERROR(__xludf.DUMMYFUNCTION("""COMPUTED_VALUE"""),"V-1-521")</f>
        <v>V-1-521</v>
      </c>
      <c r="B14" t="str">
        <f ca="1">IFERROR(__xludf.DUMMYFUNCTION("""COMPUTED_VALUE"""),"Тихонов")</f>
        <v>Тихонов</v>
      </c>
      <c r="C14" t="str">
        <f ca="1">IFERROR(__xludf.DUMMYFUNCTION("""COMPUTED_VALUE"""),"Павел")</f>
        <v>Павел</v>
      </c>
      <c r="D14" t="str">
        <f ca="1">IFERROR(__xludf.DUMMYFUNCTION("""COMPUTED_VALUE"""),"Школа Квадривиум")</f>
        <v>Школа Квадривиум</v>
      </c>
      <c r="E14" s="5">
        <f ca="1">IFERROR(__xludf.DUMMYFUNCTION("""COMPUTED_VALUE"""),2)</f>
        <v>2</v>
      </c>
      <c r="F14" s="5">
        <f ca="1">IFERROR(__xludf.DUMMYFUNCTION("""COMPUTED_VALUE"""),0)</f>
        <v>0</v>
      </c>
      <c r="G14" s="5">
        <f ca="1">IFERROR(__xludf.DUMMYFUNCTION("""COMPUTED_VALUE"""),3)</f>
        <v>3</v>
      </c>
      <c r="H14" s="5">
        <f ca="1">IFERROR(__xludf.DUMMYFUNCTION("""COMPUTED_VALUE"""),5)</f>
        <v>5</v>
      </c>
      <c r="I14" s="5">
        <f ca="1">IFERROR(__xludf.DUMMYFUNCTION("""COMPUTED_VALUE"""),5)</f>
        <v>5</v>
      </c>
      <c r="J14" s="5">
        <f ca="1">IFERROR(__xludf.DUMMYFUNCTION("""COMPUTED_VALUE"""),4)</f>
        <v>4</v>
      </c>
      <c r="K14" s="5"/>
      <c r="L14" s="5">
        <f ca="1">IFERROR(__xludf.DUMMYFUNCTION("""COMPUTED_VALUE"""),1)</f>
        <v>1</v>
      </c>
      <c r="M14">
        <f ca="1">IFERROR(__xludf.DUMMYFUNCTION("""COMPUTED_VALUE"""),20)</f>
        <v>20</v>
      </c>
      <c r="N14" s="8" t="str">
        <f ca="1">IFERROR(__xludf.DUMMYFUNCTION("""COMPUTED_VALUE"""),"Д2")</f>
        <v>Д2</v>
      </c>
    </row>
    <row r="15" spans="1:27" ht="12.45" hidden="1">
      <c r="A15" t="str">
        <f ca="1">IFERROR(__xludf.DUMMYFUNCTION("""COMPUTED_VALUE"""),"III-1-017")</f>
        <v>III-1-017</v>
      </c>
      <c r="B15" t="str">
        <f ca="1">IFERROR(__xludf.DUMMYFUNCTION("""COMPUTED_VALUE"""),"Андреев")</f>
        <v>Андреев</v>
      </c>
      <c r="C15" t="str">
        <f ca="1">IFERROR(__xludf.DUMMYFUNCTION("""COMPUTED_VALUE"""),"Степан")</f>
        <v>Степан</v>
      </c>
      <c r="D15" t="str">
        <f ca="1">IFERROR(__xludf.DUMMYFUNCTION("""COMPUTED_VALUE"""),"Лицей 590")</f>
        <v>Лицей 590</v>
      </c>
      <c r="E15" s="5">
        <f ca="1">IFERROR(__xludf.DUMMYFUNCTION("""COMPUTED_VALUE"""),2)</f>
        <v>2</v>
      </c>
      <c r="F15" s="5">
        <f ca="1">IFERROR(__xludf.DUMMYFUNCTION("""COMPUTED_VALUE"""),3)</f>
        <v>3</v>
      </c>
      <c r="G15" s="5">
        <f ca="1">IFERROR(__xludf.DUMMYFUNCTION("""COMPUTED_VALUE"""),3)</f>
        <v>3</v>
      </c>
      <c r="H15" s="5">
        <f ca="1">IFERROR(__xludf.DUMMYFUNCTION("""COMPUTED_VALUE"""),5)</f>
        <v>5</v>
      </c>
      <c r="I15" s="5">
        <f ca="1">IFERROR(__xludf.DUMMYFUNCTION("""COMPUTED_VALUE"""),2)</f>
        <v>2</v>
      </c>
      <c r="J15" s="5">
        <f ca="1">IFERROR(__xludf.DUMMYFUNCTION("""COMPUTED_VALUE"""),4)</f>
        <v>4</v>
      </c>
      <c r="K15" s="5">
        <f ca="1">IFERROR(__xludf.DUMMYFUNCTION("""COMPUTED_VALUE"""),0)</f>
        <v>0</v>
      </c>
      <c r="L15" s="5">
        <f ca="1">IFERROR(__xludf.DUMMYFUNCTION("""COMPUTED_VALUE"""),1)</f>
        <v>1</v>
      </c>
      <c r="M15">
        <f ca="1">IFERROR(__xludf.DUMMYFUNCTION("""COMPUTED_VALUE"""),20)</f>
        <v>20</v>
      </c>
      <c r="N15" s="8" t="str">
        <f ca="1">IFERROR(__xludf.DUMMYFUNCTION("""COMPUTED_VALUE"""),"Д2")</f>
        <v>Д2</v>
      </c>
    </row>
    <row r="16" spans="1:27" ht="12.45" hidden="1">
      <c r="A16" t="str">
        <f ca="1">IFERROR(__xludf.DUMMYFUNCTION("""COMPUTED_VALUE"""),"III-1-007")</f>
        <v>III-1-007</v>
      </c>
      <c r="B16" t="str">
        <f ca="1">IFERROR(__xludf.DUMMYFUNCTION("""COMPUTED_VALUE"""),"Айзикович")</f>
        <v>Айзикович</v>
      </c>
      <c r="C16" t="str">
        <f ca="1">IFERROR(__xludf.DUMMYFUNCTION("""COMPUTED_VALUE"""),"Екатерина")</f>
        <v>Екатерина</v>
      </c>
      <c r="D16" t="str">
        <f ca="1">IFERROR(__xludf.DUMMYFUNCTION("""COMPUTED_VALUE"""),"Школа 347")</f>
        <v>Школа 347</v>
      </c>
      <c r="E16" s="5">
        <f ca="1">IFERROR(__xludf.DUMMYFUNCTION("""COMPUTED_VALUE"""),2)</f>
        <v>2</v>
      </c>
      <c r="F16" s="5">
        <f ca="1">IFERROR(__xludf.DUMMYFUNCTION("""COMPUTED_VALUE"""),3)</f>
        <v>3</v>
      </c>
      <c r="G16" s="5">
        <f ca="1">IFERROR(__xludf.DUMMYFUNCTION("""COMPUTED_VALUE"""),3)</f>
        <v>3</v>
      </c>
      <c r="H16" s="5">
        <f ca="1">IFERROR(__xludf.DUMMYFUNCTION("""COMPUTED_VALUE"""),5)</f>
        <v>5</v>
      </c>
      <c r="I16" s="5">
        <f ca="1">IFERROR(__xludf.DUMMYFUNCTION("""COMPUTED_VALUE"""),1)</f>
        <v>1</v>
      </c>
      <c r="J16" s="5">
        <f ca="1">IFERROR(__xludf.DUMMYFUNCTION("""COMPUTED_VALUE"""),4)</f>
        <v>4</v>
      </c>
      <c r="K16" s="5">
        <f ca="1">IFERROR(__xludf.DUMMYFUNCTION("""COMPUTED_VALUE"""),0)</f>
        <v>0</v>
      </c>
      <c r="L16" s="5">
        <f ca="1">IFERROR(__xludf.DUMMYFUNCTION("""COMPUTED_VALUE"""),1)</f>
        <v>1</v>
      </c>
      <c r="M16">
        <f ca="1">IFERROR(__xludf.DUMMYFUNCTION("""COMPUTED_VALUE"""),19)</f>
        <v>19</v>
      </c>
      <c r="N16" s="8" t="str">
        <f ca="1">IFERROR(__xludf.DUMMYFUNCTION("""COMPUTED_VALUE"""),"Д2")</f>
        <v>Д2</v>
      </c>
    </row>
    <row r="17" spans="1:14" ht="12.45" hidden="1">
      <c r="A17" t="str">
        <f ca="1">IFERROR(__xludf.DUMMYFUNCTION("""COMPUTED_VALUE"""),"V-1-444")</f>
        <v>V-1-444</v>
      </c>
      <c r="B17" t="str">
        <f ca="1">IFERROR(__xludf.DUMMYFUNCTION("""COMPUTED_VALUE"""),"Романов")</f>
        <v>Романов</v>
      </c>
      <c r="C17" t="str">
        <f ca="1">IFERROR(__xludf.DUMMYFUNCTION("""COMPUTED_VALUE"""),"Глеб")</f>
        <v>Глеб</v>
      </c>
      <c r="D17" t="str">
        <f ca="1">IFERROR(__xludf.DUMMYFUNCTION("""COMPUTED_VALUE"""),"Школа 407")</f>
        <v>Школа 407</v>
      </c>
      <c r="E17" s="5">
        <f ca="1">IFERROR(__xludf.DUMMYFUNCTION("""COMPUTED_VALUE"""),2)</f>
        <v>2</v>
      </c>
      <c r="F17" s="5">
        <f ca="1">IFERROR(__xludf.DUMMYFUNCTION("""COMPUTED_VALUE"""),0)</f>
        <v>0</v>
      </c>
      <c r="G17" s="5">
        <f ca="1">IFERROR(__xludf.DUMMYFUNCTION("""COMPUTED_VALUE"""),3)</f>
        <v>3</v>
      </c>
      <c r="H17" s="5">
        <f ca="1">IFERROR(__xludf.DUMMYFUNCTION("""COMPUTED_VALUE"""),5)</f>
        <v>5</v>
      </c>
      <c r="I17" s="5">
        <f ca="1">IFERROR(__xludf.DUMMYFUNCTION("""COMPUTED_VALUE"""),0)</f>
        <v>0</v>
      </c>
      <c r="J17" s="5">
        <f ca="1">IFERROR(__xludf.DUMMYFUNCTION("""COMPUTED_VALUE"""),4)</f>
        <v>4</v>
      </c>
      <c r="K17" s="5">
        <f ca="1">IFERROR(__xludf.DUMMYFUNCTION("""COMPUTED_VALUE"""),4)</f>
        <v>4</v>
      </c>
      <c r="L17" s="5">
        <f ca="1">IFERROR(__xludf.DUMMYFUNCTION("""COMPUTED_VALUE"""),1)</f>
        <v>1</v>
      </c>
      <c r="M17">
        <f ca="1">IFERROR(__xludf.DUMMYFUNCTION("""COMPUTED_VALUE"""),19)</f>
        <v>19</v>
      </c>
      <c r="N17" s="8" t="str">
        <f ca="1">IFERROR(__xludf.DUMMYFUNCTION("""COMPUTED_VALUE"""),"Д2")</f>
        <v>Д2</v>
      </c>
    </row>
    <row r="18" spans="1:14" ht="12.45" hidden="1">
      <c r="A18" t="str">
        <f ca="1">IFERROR(__xludf.DUMMYFUNCTION("""COMPUTED_VALUE"""),"V-1-512")</f>
        <v>V-1-512</v>
      </c>
      <c r="B18" t="str">
        <f ca="1">IFERROR(__xludf.DUMMYFUNCTION("""COMPUTED_VALUE"""),"Темняков")</f>
        <v>Темняков</v>
      </c>
      <c r="C18" t="str">
        <f ca="1">IFERROR(__xludf.DUMMYFUNCTION("""COMPUTED_VALUE"""),"Илья")</f>
        <v>Илья</v>
      </c>
      <c r="D18" t="str">
        <f ca="1">IFERROR(__xludf.DUMMYFUNCTION("""COMPUTED_VALUE"""),"Школа 113")</f>
        <v>Школа 113</v>
      </c>
      <c r="E18" s="5">
        <f ca="1">IFERROR(__xludf.DUMMYFUNCTION("""COMPUTED_VALUE"""),2)</f>
        <v>2</v>
      </c>
      <c r="F18" s="5">
        <f ca="1">IFERROR(__xludf.DUMMYFUNCTION("""COMPUTED_VALUE"""),3)</f>
        <v>3</v>
      </c>
      <c r="G18" s="5">
        <f ca="1">IFERROR(__xludf.DUMMYFUNCTION("""COMPUTED_VALUE"""),3)</f>
        <v>3</v>
      </c>
      <c r="H18" s="5">
        <f ca="1">IFERROR(__xludf.DUMMYFUNCTION("""COMPUTED_VALUE"""),0)</f>
        <v>0</v>
      </c>
      <c r="I18" s="5">
        <f ca="1">IFERROR(__xludf.DUMMYFUNCTION("""COMPUTED_VALUE"""),2)</f>
        <v>2</v>
      </c>
      <c r="J18" s="5">
        <f ca="1">IFERROR(__xludf.DUMMYFUNCTION("""COMPUTED_VALUE"""),4)</f>
        <v>4</v>
      </c>
      <c r="K18" s="5">
        <f ca="1">IFERROR(__xludf.DUMMYFUNCTION("""COMPUTED_VALUE"""),4)</f>
        <v>4</v>
      </c>
      <c r="L18" s="5">
        <f ca="1">IFERROR(__xludf.DUMMYFUNCTION("""COMPUTED_VALUE"""),1)</f>
        <v>1</v>
      </c>
      <c r="M18">
        <f ca="1">IFERROR(__xludf.DUMMYFUNCTION("""COMPUTED_VALUE"""),19)</f>
        <v>19</v>
      </c>
      <c r="N18" s="8" t="str">
        <f ca="1">IFERROR(__xludf.DUMMYFUNCTION("""COMPUTED_VALUE"""),"Д2")</f>
        <v>Д2</v>
      </c>
    </row>
    <row r="19" spans="1:14" ht="12.45" hidden="1">
      <c r="A19" t="str">
        <f ca="1">IFERROR(__xludf.DUMMYFUNCTION("""COMPUTED_VALUE"""),"V-1-433")</f>
        <v>V-1-433</v>
      </c>
      <c r="B19" t="str">
        <f ca="1">IFERROR(__xludf.DUMMYFUNCTION("""COMPUTED_VALUE"""),"Ракипи")</f>
        <v>Ракипи</v>
      </c>
      <c r="C19" t="str">
        <f ca="1">IFERROR(__xludf.DUMMYFUNCTION("""COMPUTED_VALUE"""),"Александр")</f>
        <v>Александр</v>
      </c>
      <c r="D19" t="str">
        <f ca="1">IFERROR(__xludf.DUMMYFUNCTION("""COMPUTED_VALUE"""),"Гимназия 32")</f>
        <v>Гимназия 32</v>
      </c>
      <c r="E19" s="5">
        <f ca="1">IFERROR(__xludf.DUMMYFUNCTION("""COMPUTED_VALUE"""),2)</f>
        <v>2</v>
      </c>
      <c r="F19" s="5">
        <f ca="1">IFERROR(__xludf.DUMMYFUNCTION("""COMPUTED_VALUE"""),3)</f>
        <v>3</v>
      </c>
      <c r="G19" s="5">
        <f ca="1">IFERROR(__xludf.DUMMYFUNCTION("""COMPUTED_VALUE"""),3)</f>
        <v>3</v>
      </c>
      <c r="H19" s="5">
        <f ca="1">IFERROR(__xludf.DUMMYFUNCTION("""COMPUTED_VALUE"""),5)</f>
        <v>5</v>
      </c>
      <c r="I19" s="5">
        <f ca="1">IFERROR(__xludf.DUMMYFUNCTION("""COMPUTED_VALUE"""),0)</f>
        <v>0</v>
      </c>
      <c r="J19" s="5">
        <f ca="1">IFERROR(__xludf.DUMMYFUNCTION("""COMPUTED_VALUE"""),0)</f>
        <v>0</v>
      </c>
      <c r="K19" s="5">
        <f ca="1">IFERROR(__xludf.DUMMYFUNCTION("""COMPUTED_VALUE"""),4)</f>
        <v>4</v>
      </c>
      <c r="L19" s="5">
        <f ca="1">IFERROR(__xludf.DUMMYFUNCTION("""COMPUTED_VALUE"""),1)</f>
        <v>1</v>
      </c>
      <c r="M19">
        <f ca="1">IFERROR(__xludf.DUMMYFUNCTION("""COMPUTED_VALUE"""),18)</f>
        <v>18</v>
      </c>
      <c r="N19" s="8" t="str">
        <f ca="1">IFERROR(__xludf.DUMMYFUNCTION("""COMPUTED_VALUE"""),"Д2")</f>
        <v>Д2</v>
      </c>
    </row>
    <row r="20" spans="1:14" ht="12.45" hidden="1">
      <c r="A20" t="str">
        <f ca="1">IFERROR(__xludf.DUMMYFUNCTION("""COMPUTED_VALUE"""),"V-1-547")</f>
        <v>V-1-547</v>
      </c>
      <c r="B20" t="str">
        <f ca="1">IFERROR(__xludf.DUMMYFUNCTION("""COMPUTED_VALUE"""),"Филина")</f>
        <v>Филина</v>
      </c>
      <c r="C20" t="str">
        <f ca="1">IFERROR(__xludf.DUMMYFUNCTION("""COMPUTED_VALUE"""),"София")</f>
        <v>София</v>
      </c>
      <c r="D20" t="str">
        <f ca="1">IFERROR(__xludf.DUMMYFUNCTION("""COMPUTED_VALUE"""),"Школа 456")</f>
        <v>Школа 456</v>
      </c>
      <c r="E20" s="5">
        <f ca="1">IFERROR(__xludf.DUMMYFUNCTION("""COMPUTED_VALUE"""),2)</f>
        <v>2</v>
      </c>
      <c r="F20" s="5">
        <f ca="1">IFERROR(__xludf.DUMMYFUNCTION("""COMPUTED_VALUE"""),3)</f>
        <v>3</v>
      </c>
      <c r="G20" s="5">
        <f ca="1">IFERROR(__xludf.DUMMYFUNCTION("""COMPUTED_VALUE"""),3)</f>
        <v>3</v>
      </c>
      <c r="H20" s="5">
        <f ca="1">IFERROR(__xludf.DUMMYFUNCTION("""COMPUTED_VALUE"""),5)</f>
        <v>5</v>
      </c>
      <c r="I20" s="5">
        <f ca="1">IFERROR(__xludf.DUMMYFUNCTION("""COMPUTED_VALUE"""),0)</f>
        <v>0</v>
      </c>
      <c r="J20" s="5">
        <f ca="1">IFERROR(__xludf.DUMMYFUNCTION("""COMPUTED_VALUE"""),4)</f>
        <v>4</v>
      </c>
      <c r="K20" s="5">
        <f ca="1">IFERROR(__xludf.DUMMYFUNCTION("""COMPUTED_VALUE"""),0)</f>
        <v>0</v>
      </c>
      <c r="L20" s="5">
        <f ca="1">IFERROR(__xludf.DUMMYFUNCTION("""COMPUTED_VALUE"""),1)</f>
        <v>1</v>
      </c>
      <c r="M20">
        <f ca="1">IFERROR(__xludf.DUMMYFUNCTION("""COMPUTED_VALUE"""),18)</f>
        <v>18</v>
      </c>
      <c r="N20" s="8" t="str">
        <f ca="1">IFERROR(__xludf.DUMMYFUNCTION("""COMPUTED_VALUE"""),"Д2")</f>
        <v>Д2</v>
      </c>
    </row>
    <row r="21" spans="1:14" ht="12.45" hidden="1">
      <c r="A21" t="str">
        <f ca="1">IFERROR(__xludf.DUMMYFUNCTION("""COMPUTED_VALUE"""),"V-1-543")</f>
        <v>V-1-543</v>
      </c>
      <c r="B21" t="str">
        <f ca="1">IFERROR(__xludf.DUMMYFUNCTION("""COMPUTED_VALUE"""),"Федоров")</f>
        <v>Федоров</v>
      </c>
      <c r="C21" t="str">
        <f ca="1">IFERROR(__xludf.DUMMYFUNCTION("""COMPUTED_VALUE"""),"Николай")</f>
        <v>Николай</v>
      </c>
      <c r="D21" t="str">
        <f ca="1">IFERROR(__xludf.DUMMYFUNCTION("""COMPUTED_VALUE"""),"Школа 618")</f>
        <v>Школа 618</v>
      </c>
      <c r="E21" s="5">
        <f ca="1">IFERROR(__xludf.DUMMYFUNCTION("""COMPUTED_VALUE"""),2)</f>
        <v>2</v>
      </c>
      <c r="F21" s="5">
        <f ca="1">IFERROR(__xludf.DUMMYFUNCTION("""COMPUTED_VALUE"""),0)</f>
        <v>0</v>
      </c>
      <c r="G21" s="5">
        <f ca="1">IFERROR(__xludf.DUMMYFUNCTION("""COMPUTED_VALUE"""),3)</f>
        <v>3</v>
      </c>
      <c r="H21" s="5">
        <f ca="1">IFERROR(__xludf.DUMMYFUNCTION("""COMPUTED_VALUE"""),5)</f>
        <v>5</v>
      </c>
      <c r="I21" s="5">
        <f ca="1">IFERROR(__xludf.DUMMYFUNCTION("""COMPUTED_VALUE"""),3)</f>
        <v>3</v>
      </c>
      <c r="J21" s="5"/>
      <c r="K21" s="5">
        <f ca="1">IFERROR(__xludf.DUMMYFUNCTION("""COMPUTED_VALUE"""),4)</f>
        <v>4</v>
      </c>
      <c r="L21" s="5">
        <f ca="1">IFERROR(__xludf.DUMMYFUNCTION("""COMPUTED_VALUE"""),1)</f>
        <v>1</v>
      </c>
      <c r="M21">
        <f ca="1">IFERROR(__xludf.DUMMYFUNCTION("""COMPUTED_VALUE"""),18)</f>
        <v>18</v>
      </c>
      <c r="N21" s="8" t="str">
        <f ca="1">IFERROR(__xludf.DUMMYFUNCTION("""COMPUTED_VALUE"""),"Д2")</f>
        <v>Д2</v>
      </c>
    </row>
    <row r="22" spans="1:14" ht="12.45" hidden="1">
      <c r="A22" t="str">
        <f ca="1">IFERROR(__xludf.DUMMYFUNCTION("""COMPUTED_VALUE"""),"III-1-063")</f>
        <v>III-1-063</v>
      </c>
      <c r="B22" t="str">
        <f ca="1">IFERROR(__xludf.DUMMYFUNCTION("""COMPUTED_VALUE"""),"Битус")</f>
        <v>Битус</v>
      </c>
      <c r="C22" t="str">
        <f ca="1">IFERROR(__xludf.DUMMYFUNCTION("""COMPUTED_VALUE"""),"Виктория")</f>
        <v>Виктория</v>
      </c>
      <c r="D22" t="str">
        <f ca="1">IFERROR(__xludf.DUMMYFUNCTION("""COMPUTED_VALUE"""),"Гимназия 524")</f>
        <v>Гимназия 524</v>
      </c>
      <c r="E22" s="5">
        <f ca="1">IFERROR(__xludf.DUMMYFUNCTION("""COMPUTED_VALUE"""),1)</f>
        <v>1</v>
      </c>
      <c r="F22" s="5">
        <f ca="1">IFERROR(__xludf.DUMMYFUNCTION("""COMPUTED_VALUE"""),3)</f>
        <v>3</v>
      </c>
      <c r="G22" s="5">
        <f ca="1">IFERROR(__xludf.DUMMYFUNCTION("""COMPUTED_VALUE"""),3)</f>
        <v>3</v>
      </c>
      <c r="H22" s="5">
        <f ca="1">IFERROR(__xludf.DUMMYFUNCTION("""COMPUTED_VALUE"""),5)</f>
        <v>5</v>
      </c>
      <c r="I22" s="5">
        <f ca="1">IFERROR(__xludf.DUMMYFUNCTION("""COMPUTED_VALUE"""),0)</f>
        <v>0</v>
      </c>
      <c r="J22" s="5">
        <f ca="1">IFERROR(__xludf.DUMMYFUNCTION("""COMPUTED_VALUE"""),1)</f>
        <v>1</v>
      </c>
      <c r="K22" s="5">
        <f ca="1">IFERROR(__xludf.DUMMYFUNCTION("""COMPUTED_VALUE"""),4)</f>
        <v>4</v>
      </c>
      <c r="L22" s="5">
        <f ca="1">IFERROR(__xludf.DUMMYFUNCTION("""COMPUTED_VALUE"""),1)</f>
        <v>1</v>
      </c>
      <c r="M22">
        <f ca="1">IFERROR(__xludf.DUMMYFUNCTION("""COMPUTED_VALUE"""),18)</f>
        <v>18</v>
      </c>
      <c r="N22" s="8" t="str">
        <f ca="1">IFERROR(__xludf.DUMMYFUNCTION("""COMPUTED_VALUE"""),"Д2")</f>
        <v>Д2</v>
      </c>
    </row>
    <row r="23" spans="1:14" ht="12.45" hidden="1">
      <c r="A23" t="str">
        <f ca="1">IFERROR(__xludf.DUMMYFUNCTION("""COMPUTED_VALUE"""),"III-1-130")</f>
        <v>III-1-130</v>
      </c>
      <c r="B23" t="str">
        <f ca="1">IFERROR(__xludf.DUMMYFUNCTION("""COMPUTED_VALUE"""),"Голубев")</f>
        <v>Голубев</v>
      </c>
      <c r="C23" t="str">
        <f ca="1">IFERROR(__xludf.DUMMYFUNCTION("""COMPUTED_VALUE"""),"Назар")</f>
        <v>Назар</v>
      </c>
      <c r="D23" t="str">
        <f ca="1">IFERROR(__xludf.DUMMYFUNCTION("""COMPUTED_VALUE"""),"Школа Бугровская")</f>
        <v>Школа Бугровская</v>
      </c>
      <c r="E23" s="5">
        <f ca="1">IFERROR(__xludf.DUMMYFUNCTION("""COMPUTED_VALUE"""),2)</f>
        <v>2</v>
      </c>
      <c r="F23" s="5">
        <f ca="1">IFERROR(__xludf.DUMMYFUNCTION("""COMPUTED_VALUE"""),3)</f>
        <v>3</v>
      </c>
      <c r="G23" s="5">
        <f ca="1">IFERROR(__xludf.DUMMYFUNCTION("""COMPUTED_VALUE"""),3)</f>
        <v>3</v>
      </c>
      <c r="H23" s="5">
        <f ca="1">IFERROR(__xludf.DUMMYFUNCTION("""COMPUTED_VALUE"""),5)</f>
        <v>5</v>
      </c>
      <c r="I23" s="5">
        <f ca="1">IFERROR(__xludf.DUMMYFUNCTION("""COMPUTED_VALUE"""),0)</f>
        <v>0</v>
      </c>
      <c r="J23" s="5">
        <f ca="1">IFERROR(__xludf.DUMMYFUNCTION("""COMPUTED_VALUE"""),0)</f>
        <v>0</v>
      </c>
      <c r="K23" s="5">
        <f ca="1">IFERROR(__xludf.DUMMYFUNCTION("""COMPUTED_VALUE"""),4)</f>
        <v>4</v>
      </c>
      <c r="L23" s="5">
        <f ca="1">IFERROR(__xludf.DUMMYFUNCTION("""COMPUTED_VALUE"""),1)</f>
        <v>1</v>
      </c>
      <c r="M23">
        <f ca="1">IFERROR(__xludf.DUMMYFUNCTION("""COMPUTED_VALUE"""),18)</f>
        <v>18</v>
      </c>
      <c r="N23" s="8" t="str">
        <f ca="1">IFERROR(__xludf.DUMMYFUNCTION("""COMPUTED_VALUE"""),"Д2")</f>
        <v>Д2</v>
      </c>
    </row>
    <row r="24" spans="1:14" ht="12.45" hidden="1">
      <c r="A24" t="str">
        <f ca="1">IFERROR(__xludf.DUMMYFUNCTION("""COMPUTED_VALUE"""),"V-1-542")</f>
        <v>V-1-542</v>
      </c>
      <c r="B24" t="str">
        <f ca="1">IFERROR(__xludf.DUMMYFUNCTION("""COMPUTED_VALUE"""),"Федоров")</f>
        <v>Федоров</v>
      </c>
      <c r="C24" t="str">
        <f ca="1">IFERROR(__xludf.DUMMYFUNCTION("""COMPUTED_VALUE"""),"Вениамин")</f>
        <v>Вениамин</v>
      </c>
      <c r="D24" t="str">
        <f ca="1">IFERROR(__xludf.DUMMYFUNCTION("""COMPUTED_VALUE"""),"Школа 256")</f>
        <v>Школа 256</v>
      </c>
      <c r="E24" s="5">
        <f ca="1">IFERROR(__xludf.DUMMYFUNCTION("""COMPUTED_VALUE"""),2)</f>
        <v>2</v>
      </c>
      <c r="F24" s="5">
        <f ca="1">IFERROR(__xludf.DUMMYFUNCTION("""COMPUTED_VALUE"""),3)</f>
        <v>3</v>
      </c>
      <c r="G24" s="5">
        <f ca="1">IFERROR(__xludf.DUMMYFUNCTION("""COMPUTED_VALUE"""),3)</f>
        <v>3</v>
      </c>
      <c r="H24" s="5">
        <f ca="1">IFERROR(__xludf.DUMMYFUNCTION("""COMPUTED_VALUE"""),5)</f>
        <v>5</v>
      </c>
      <c r="I24" s="5"/>
      <c r="J24" s="5">
        <f ca="1">IFERROR(__xludf.DUMMYFUNCTION("""COMPUTED_VALUE"""),0)</f>
        <v>0</v>
      </c>
      <c r="K24" s="5">
        <f ca="1">IFERROR(__xludf.DUMMYFUNCTION("""COMPUTED_VALUE"""),4)</f>
        <v>4</v>
      </c>
      <c r="L24" s="5">
        <f ca="1">IFERROR(__xludf.DUMMYFUNCTION("""COMPUTED_VALUE"""),1)</f>
        <v>1</v>
      </c>
      <c r="M24">
        <f ca="1">IFERROR(__xludf.DUMMYFUNCTION("""COMPUTED_VALUE"""),18)</f>
        <v>18</v>
      </c>
      <c r="N24" s="8" t="str">
        <f ca="1">IFERROR(__xludf.DUMMYFUNCTION("""COMPUTED_VALUE"""),"Д2")</f>
        <v>Д2</v>
      </c>
    </row>
    <row r="25" spans="1:14" ht="12.45" hidden="1">
      <c r="A25" t="str">
        <f ca="1">IFERROR(__xludf.DUMMYFUNCTION("""COMPUTED_VALUE"""),"V-1-424")</f>
        <v>V-1-424</v>
      </c>
      <c r="B25" t="str">
        <f ca="1">IFERROR(__xludf.DUMMYFUNCTION("""COMPUTED_VALUE"""),"Пуляевский")</f>
        <v>Пуляевский</v>
      </c>
      <c r="C25" t="str">
        <f ca="1">IFERROR(__xludf.DUMMYFUNCTION("""COMPUTED_VALUE"""),"Михаил")</f>
        <v>Михаил</v>
      </c>
      <c r="D25" t="str">
        <f ca="1">IFERROR(__xludf.DUMMYFUNCTION("""COMPUTED_VALUE"""),"Школа 615")</f>
        <v>Школа 615</v>
      </c>
      <c r="E25" s="5">
        <f ca="1">IFERROR(__xludf.DUMMYFUNCTION("""COMPUTED_VALUE"""),2)</f>
        <v>2</v>
      </c>
      <c r="F25" s="5">
        <f ca="1">IFERROR(__xludf.DUMMYFUNCTION("""COMPUTED_VALUE"""),3)</f>
        <v>3</v>
      </c>
      <c r="G25" s="5">
        <f ca="1">IFERROR(__xludf.DUMMYFUNCTION("""COMPUTED_VALUE"""),3)</f>
        <v>3</v>
      </c>
      <c r="H25" s="5">
        <f ca="1">IFERROR(__xludf.DUMMYFUNCTION("""COMPUTED_VALUE"""),5)</f>
        <v>5</v>
      </c>
      <c r="I25" s="5">
        <f ca="1">IFERROR(__xludf.DUMMYFUNCTION("""COMPUTED_VALUE"""),0)</f>
        <v>0</v>
      </c>
      <c r="J25" s="5">
        <f ca="1">IFERROR(__xludf.DUMMYFUNCTION("""COMPUTED_VALUE"""),0)</f>
        <v>0</v>
      </c>
      <c r="K25" s="5">
        <f ca="1">IFERROR(__xludf.DUMMYFUNCTION("""COMPUTED_VALUE"""),4)</f>
        <v>4</v>
      </c>
      <c r="L25" s="5">
        <f ca="1">IFERROR(__xludf.DUMMYFUNCTION("""COMPUTED_VALUE"""),1)</f>
        <v>1</v>
      </c>
      <c r="M25">
        <f ca="1">IFERROR(__xludf.DUMMYFUNCTION("""COMPUTED_VALUE"""),18)</f>
        <v>18</v>
      </c>
      <c r="N25" s="8" t="str">
        <f ca="1">IFERROR(__xludf.DUMMYFUNCTION("""COMPUTED_VALUE"""),"Д2")</f>
        <v>Д2</v>
      </c>
    </row>
    <row r="26" spans="1:14" ht="12.45" hidden="1">
      <c r="A26" t="str">
        <f ca="1">IFERROR(__xludf.DUMMYFUNCTION("""COMPUTED_VALUE"""),"V-1-601")</f>
        <v>V-1-601</v>
      </c>
      <c r="B26" t="str">
        <f ca="1">IFERROR(__xludf.DUMMYFUNCTION("""COMPUTED_VALUE"""),"Шкурихин")</f>
        <v>Шкурихин</v>
      </c>
      <c r="C26" t="str">
        <f ca="1">IFERROR(__xludf.DUMMYFUNCTION("""COMPUTED_VALUE"""),"Георгий")</f>
        <v>Георгий</v>
      </c>
      <c r="D26" t="str">
        <f ca="1">IFERROR(__xludf.DUMMYFUNCTION("""COMPUTED_VALUE"""),"Гимназия 295")</f>
        <v>Гимназия 295</v>
      </c>
      <c r="E26" s="5">
        <f ca="1">IFERROR(__xludf.DUMMYFUNCTION("""COMPUTED_VALUE"""),2)</f>
        <v>2</v>
      </c>
      <c r="F26" s="5">
        <f ca="1">IFERROR(__xludf.DUMMYFUNCTION("""COMPUTED_VALUE"""),3)</f>
        <v>3</v>
      </c>
      <c r="G26" s="5">
        <f ca="1">IFERROR(__xludf.DUMMYFUNCTION("""COMPUTED_VALUE"""),3)</f>
        <v>3</v>
      </c>
      <c r="H26" s="5">
        <f ca="1">IFERROR(__xludf.DUMMYFUNCTION("""COMPUTED_VALUE"""),5)</f>
        <v>5</v>
      </c>
      <c r="I26" s="5"/>
      <c r="J26" s="5">
        <f ca="1">IFERROR(__xludf.DUMMYFUNCTION("""COMPUTED_VALUE"""),4)</f>
        <v>4</v>
      </c>
      <c r="K26" s="5"/>
      <c r="L26" s="5">
        <f ca="1">IFERROR(__xludf.DUMMYFUNCTION("""COMPUTED_VALUE"""),1)</f>
        <v>1</v>
      </c>
      <c r="M26">
        <f ca="1">IFERROR(__xludf.DUMMYFUNCTION("""COMPUTED_VALUE"""),18)</f>
        <v>18</v>
      </c>
      <c r="N26" s="8" t="str">
        <f ca="1">IFERROR(__xludf.DUMMYFUNCTION("""COMPUTED_VALUE"""),"Д2")</f>
        <v>Д2</v>
      </c>
    </row>
    <row r="27" spans="1:14" ht="12.45" hidden="1">
      <c r="A27" t="str">
        <f ca="1">IFERROR(__xludf.DUMMYFUNCTION("""COMPUTED_VALUE"""),"III-1-068")</f>
        <v>III-1-068</v>
      </c>
      <c r="B27" t="str">
        <f ca="1">IFERROR(__xludf.DUMMYFUNCTION("""COMPUTED_VALUE"""),"Болтов")</f>
        <v>Болтов</v>
      </c>
      <c r="C27" t="str">
        <f ca="1">IFERROR(__xludf.DUMMYFUNCTION("""COMPUTED_VALUE"""),"Максим")</f>
        <v>Максим</v>
      </c>
      <c r="D27" t="str">
        <f ca="1">IFERROR(__xludf.DUMMYFUNCTION("""COMPUTED_VALUE"""),"Школа 641")</f>
        <v>Школа 641</v>
      </c>
      <c r="E27" s="5">
        <f ca="1">IFERROR(__xludf.DUMMYFUNCTION("""COMPUTED_VALUE"""),2)</f>
        <v>2</v>
      </c>
      <c r="F27" s="5">
        <f ca="1">IFERROR(__xludf.DUMMYFUNCTION("""COMPUTED_VALUE"""),3)</f>
        <v>3</v>
      </c>
      <c r="G27" s="5">
        <f ca="1">IFERROR(__xludf.DUMMYFUNCTION("""COMPUTED_VALUE"""),3)</f>
        <v>3</v>
      </c>
      <c r="H27" s="5">
        <f ca="1">IFERROR(__xludf.DUMMYFUNCTION("""COMPUTED_VALUE"""),5)</f>
        <v>5</v>
      </c>
      <c r="I27" s="5">
        <f ca="1">IFERROR(__xludf.DUMMYFUNCTION("""COMPUTED_VALUE"""),0)</f>
        <v>0</v>
      </c>
      <c r="J27" s="5">
        <f ca="1">IFERROR(__xludf.DUMMYFUNCTION("""COMPUTED_VALUE"""),4)</f>
        <v>4</v>
      </c>
      <c r="K27" s="5">
        <f ca="1">IFERROR(__xludf.DUMMYFUNCTION("""COMPUTED_VALUE"""),0)</f>
        <v>0</v>
      </c>
      <c r="L27" s="5">
        <f ca="1">IFERROR(__xludf.DUMMYFUNCTION("""COMPUTED_VALUE"""),1)</f>
        <v>1</v>
      </c>
      <c r="M27">
        <f ca="1">IFERROR(__xludf.DUMMYFUNCTION("""COMPUTED_VALUE"""),18)</f>
        <v>18</v>
      </c>
      <c r="N27" s="8" t="str">
        <f ca="1">IFERROR(__xludf.DUMMYFUNCTION("""COMPUTED_VALUE"""),"Д2")</f>
        <v>Д2</v>
      </c>
    </row>
    <row r="28" spans="1:14" ht="12.45" hidden="1">
      <c r="A28" t="str">
        <f ca="1">IFERROR(__xludf.DUMMYFUNCTION("""COMPUTED_VALUE"""),"V-1-389")</f>
        <v>V-1-389</v>
      </c>
      <c r="B28" t="str">
        <f ca="1">IFERROR(__xludf.DUMMYFUNCTION("""COMPUTED_VALUE"""),"Пахомов")</f>
        <v>Пахомов</v>
      </c>
      <c r="C28" t="str">
        <f ca="1">IFERROR(__xludf.DUMMYFUNCTION("""COMPUTED_VALUE"""),"Александр")</f>
        <v>Александр</v>
      </c>
      <c r="D28" t="str">
        <f ca="1">IFERROR(__xludf.DUMMYFUNCTION("""COMPUTED_VALUE"""),"Школа 306")</f>
        <v>Школа 306</v>
      </c>
      <c r="E28" s="5">
        <f ca="1">IFERROR(__xludf.DUMMYFUNCTION("""COMPUTED_VALUE"""),2)</f>
        <v>2</v>
      </c>
      <c r="F28" s="5">
        <f ca="1">IFERROR(__xludf.DUMMYFUNCTION("""COMPUTED_VALUE"""),3)</f>
        <v>3</v>
      </c>
      <c r="G28" s="5">
        <f ca="1">IFERROR(__xludf.DUMMYFUNCTION("""COMPUTED_VALUE"""),3)</f>
        <v>3</v>
      </c>
      <c r="H28" s="5">
        <f ca="1">IFERROR(__xludf.DUMMYFUNCTION("""COMPUTED_VALUE"""),1)</f>
        <v>1</v>
      </c>
      <c r="I28" s="5">
        <f ca="1">IFERROR(__xludf.DUMMYFUNCTION("""COMPUTED_VALUE"""),0)</f>
        <v>0</v>
      </c>
      <c r="J28" s="5">
        <f ca="1">IFERROR(__xludf.DUMMYFUNCTION("""COMPUTED_VALUE"""),4)</f>
        <v>4</v>
      </c>
      <c r="K28" s="5">
        <f ca="1">IFERROR(__xludf.DUMMYFUNCTION("""COMPUTED_VALUE"""),4)</f>
        <v>4</v>
      </c>
      <c r="L28" s="5">
        <f ca="1">IFERROR(__xludf.DUMMYFUNCTION("""COMPUTED_VALUE"""),0)</f>
        <v>0</v>
      </c>
      <c r="M28">
        <f ca="1">IFERROR(__xludf.DUMMYFUNCTION("""COMPUTED_VALUE"""),17)</f>
        <v>17</v>
      </c>
      <c r="N28" s="8" t="str">
        <f ca="1">IFERROR(__xludf.DUMMYFUNCTION("""COMPUTED_VALUE"""),"Д3")</f>
        <v>Д3</v>
      </c>
    </row>
    <row r="29" spans="1:14" ht="12.45" hidden="1">
      <c r="A29" t="str">
        <f ca="1">IFERROR(__xludf.DUMMYFUNCTION("""COMPUTED_VALUE"""),"III-1-180")</f>
        <v>III-1-180</v>
      </c>
      <c r="B29" t="str">
        <f ca="1">IFERROR(__xludf.DUMMYFUNCTION("""COMPUTED_VALUE"""),"Ефремов-Шереметьев")</f>
        <v>Ефремов-Шереметьев</v>
      </c>
      <c r="C29" t="str">
        <f ca="1">IFERROR(__xludf.DUMMYFUNCTION("""COMPUTED_VALUE"""),"Глеб")</f>
        <v>Глеб</v>
      </c>
      <c r="D29" t="str">
        <f ca="1">IFERROR(__xludf.DUMMYFUNCTION("""COMPUTED_VALUE"""),"Школа Квадривиум")</f>
        <v>Школа Квадривиум</v>
      </c>
      <c r="E29" s="5">
        <f ca="1">IFERROR(__xludf.DUMMYFUNCTION("""COMPUTED_VALUE"""),1)</f>
        <v>1</v>
      </c>
      <c r="F29" s="5">
        <f ca="1">IFERROR(__xludf.DUMMYFUNCTION("""COMPUTED_VALUE"""),3)</f>
        <v>3</v>
      </c>
      <c r="G29" s="5">
        <f ca="1">IFERROR(__xludf.DUMMYFUNCTION("""COMPUTED_VALUE"""),3)</f>
        <v>3</v>
      </c>
      <c r="H29" s="5">
        <f ca="1">IFERROR(__xludf.DUMMYFUNCTION("""COMPUTED_VALUE"""),5)</f>
        <v>5</v>
      </c>
      <c r="I29" s="5"/>
      <c r="J29" s="5">
        <f ca="1">IFERROR(__xludf.DUMMYFUNCTION("""COMPUTED_VALUE"""),0)</f>
        <v>0</v>
      </c>
      <c r="K29" s="5">
        <f ca="1">IFERROR(__xludf.DUMMYFUNCTION("""COMPUTED_VALUE"""),4)</f>
        <v>4</v>
      </c>
      <c r="L29" s="5">
        <f ca="1">IFERROR(__xludf.DUMMYFUNCTION("""COMPUTED_VALUE"""),1)</f>
        <v>1</v>
      </c>
      <c r="M29">
        <f ca="1">IFERROR(__xludf.DUMMYFUNCTION("""COMPUTED_VALUE"""),17)</f>
        <v>17</v>
      </c>
      <c r="N29" s="8" t="str">
        <f ca="1">IFERROR(__xludf.DUMMYFUNCTION("""COMPUTED_VALUE"""),"Д3")</f>
        <v>Д3</v>
      </c>
    </row>
    <row r="30" spans="1:14" ht="12.45" hidden="1">
      <c r="A30" t="str">
        <f ca="1">IFERROR(__xludf.DUMMYFUNCTION("""COMPUTED_VALUE"""),"III-1-280")</f>
        <v>III-1-280</v>
      </c>
      <c r="B30" t="str">
        <f ca="1">IFERROR(__xludf.DUMMYFUNCTION("""COMPUTED_VALUE"""),"Кухарь")</f>
        <v>Кухарь</v>
      </c>
      <c r="C30" t="str">
        <f ca="1">IFERROR(__xludf.DUMMYFUNCTION("""COMPUTED_VALUE"""),"Евгений")</f>
        <v>Евгений</v>
      </c>
      <c r="D30" t="str">
        <f ca="1">IFERROR(__xludf.DUMMYFUNCTION("""COMPUTED_VALUE"""),"Лицей 344")</f>
        <v>Лицей 344</v>
      </c>
      <c r="E30" s="5">
        <f ca="1">IFERROR(__xludf.DUMMYFUNCTION("""COMPUTED_VALUE"""),2)</f>
        <v>2</v>
      </c>
      <c r="F30" s="5">
        <f ca="1">IFERROR(__xludf.DUMMYFUNCTION("""COMPUTED_VALUE"""),3)</f>
        <v>3</v>
      </c>
      <c r="G30" s="5">
        <f ca="1">IFERROR(__xludf.DUMMYFUNCTION("""COMPUTED_VALUE"""),3)</f>
        <v>3</v>
      </c>
      <c r="H30" s="5">
        <f ca="1">IFERROR(__xludf.DUMMYFUNCTION("""COMPUTED_VALUE"""),0)</f>
        <v>0</v>
      </c>
      <c r="I30" s="5">
        <f ca="1">IFERROR(__xludf.DUMMYFUNCTION("""COMPUTED_VALUE"""),0)</f>
        <v>0</v>
      </c>
      <c r="J30" s="5">
        <f ca="1">IFERROR(__xludf.DUMMYFUNCTION("""COMPUTED_VALUE"""),4)</f>
        <v>4</v>
      </c>
      <c r="K30" s="5">
        <f ca="1">IFERROR(__xludf.DUMMYFUNCTION("""COMPUTED_VALUE"""),4)</f>
        <v>4</v>
      </c>
      <c r="L30" s="5">
        <f ca="1">IFERROR(__xludf.DUMMYFUNCTION("""COMPUTED_VALUE"""),1)</f>
        <v>1</v>
      </c>
      <c r="M30">
        <f ca="1">IFERROR(__xludf.DUMMYFUNCTION("""COMPUTED_VALUE"""),17)</f>
        <v>17</v>
      </c>
      <c r="N30" s="8" t="str">
        <f ca="1">IFERROR(__xludf.DUMMYFUNCTION("""COMPUTED_VALUE"""),"Д3")</f>
        <v>Д3</v>
      </c>
    </row>
    <row r="31" spans="1:14" ht="12.45">
      <c r="A31" t="str">
        <f ca="1">IFERROR(__xludf.DUMMYFUNCTION("""COMPUTED_VALUE"""),"III-1-114")</f>
        <v>III-1-114</v>
      </c>
      <c r="B31" t="str">
        <f ca="1">IFERROR(__xludf.DUMMYFUNCTION("""COMPUTED_VALUE"""),"Гаврилова")</f>
        <v>Гаврилова</v>
      </c>
      <c r="C31" t="str">
        <f ca="1">IFERROR(__xludf.DUMMYFUNCTION("""COMPUTED_VALUE"""),"Алина")</f>
        <v>Алина</v>
      </c>
      <c r="D31" t="str">
        <f ca="1">IFERROR(__xludf.DUMMYFUNCTION("""COMPUTED_VALUE"""),"Гимназия 3")</f>
        <v>Гимназия 3</v>
      </c>
      <c r="E31" s="5">
        <f ca="1">IFERROR(__xludf.DUMMYFUNCTION("""COMPUTED_VALUE"""),2)</f>
        <v>2</v>
      </c>
      <c r="F31" s="5">
        <f ca="1">IFERROR(__xludf.DUMMYFUNCTION("""COMPUTED_VALUE"""),3)</f>
        <v>3</v>
      </c>
      <c r="G31" s="5">
        <f ca="1">IFERROR(__xludf.DUMMYFUNCTION("""COMPUTED_VALUE"""),3)</f>
        <v>3</v>
      </c>
      <c r="H31" s="5">
        <f ca="1">IFERROR(__xludf.DUMMYFUNCTION("""COMPUTED_VALUE"""),0)</f>
        <v>0</v>
      </c>
      <c r="I31" s="5">
        <f ca="1">IFERROR(__xludf.DUMMYFUNCTION("""COMPUTED_VALUE"""),4)</f>
        <v>4</v>
      </c>
      <c r="J31" s="5">
        <f ca="1">IFERROR(__xludf.DUMMYFUNCTION("""COMPUTED_VALUE"""),0)</f>
        <v>0</v>
      </c>
      <c r="K31" s="5">
        <f ca="1">IFERROR(__xludf.DUMMYFUNCTION("""COMPUTED_VALUE"""),4)</f>
        <v>4</v>
      </c>
      <c r="L31" s="5">
        <f ca="1">IFERROR(__xludf.DUMMYFUNCTION("""COMPUTED_VALUE"""),1)</f>
        <v>1</v>
      </c>
      <c r="M31">
        <f ca="1">IFERROR(__xludf.DUMMYFUNCTION("""COMPUTED_VALUE"""),17)</f>
        <v>17</v>
      </c>
      <c r="N31" s="8" t="str">
        <f ca="1">IFERROR(__xludf.DUMMYFUNCTION("""COMPUTED_VALUE"""),"Д3")</f>
        <v>Д3</v>
      </c>
    </row>
    <row r="32" spans="1:14" ht="12.45" hidden="1">
      <c r="A32" t="str">
        <f ca="1">IFERROR(__xludf.DUMMYFUNCTION("""COMPUTED_VALUE"""),"III-1-289")</f>
        <v>III-1-289</v>
      </c>
      <c r="B32" t="str">
        <f ca="1">IFERROR(__xludf.DUMMYFUNCTION("""COMPUTED_VALUE"""),"Леонова")</f>
        <v>Леонова</v>
      </c>
      <c r="C32" t="str">
        <f ca="1">IFERROR(__xludf.DUMMYFUNCTION("""COMPUTED_VALUE"""),"Таисия")</f>
        <v>Таисия</v>
      </c>
      <c r="D32" t="str">
        <f ca="1">IFERROR(__xludf.DUMMYFUNCTION("""COMPUTED_VALUE"""),"Школа 634")</f>
        <v>Школа 634</v>
      </c>
      <c r="E32" s="5">
        <f ca="1">IFERROR(__xludf.DUMMYFUNCTION("""COMPUTED_VALUE"""),2)</f>
        <v>2</v>
      </c>
      <c r="F32" s="5"/>
      <c r="G32" s="5">
        <f ca="1">IFERROR(__xludf.DUMMYFUNCTION("""COMPUTED_VALUE"""),3)</f>
        <v>3</v>
      </c>
      <c r="H32" s="5">
        <f ca="1">IFERROR(__xludf.DUMMYFUNCTION("""COMPUTED_VALUE"""),5)</f>
        <v>5</v>
      </c>
      <c r="I32" s="5">
        <f ca="1">IFERROR(__xludf.DUMMYFUNCTION("""COMPUTED_VALUE"""),2)</f>
        <v>2</v>
      </c>
      <c r="J32" s="5">
        <f ca="1">IFERROR(__xludf.DUMMYFUNCTION("""COMPUTED_VALUE"""),4)</f>
        <v>4</v>
      </c>
      <c r="K32" s="5"/>
      <c r="L32" s="5">
        <f ca="1">IFERROR(__xludf.DUMMYFUNCTION("""COMPUTED_VALUE"""),1)</f>
        <v>1</v>
      </c>
      <c r="M32">
        <f ca="1">IFERROR(__xludf.DUMMYFUNCTION("""COMPUTED_VALUE"""),17)</f>
        <v>17</v>
      </c>
      <c r="N32" s="8" t="str">
        <f ca="1">IFERROR(__xludf.DUMMYFUNCTION("""COMPUTED_VALUE"""),"Д3")</f>
        <v>Д3</v>
      </c>
    </row>
    <row r="33" spans="1:14" ht="12.45" hidden="1">
      <c r="A33" t="str">
        <f ca="1">IFERROR(__xludf.DUMMYFUNCTION("""COMPUTED_VALUE"""),"III-1-156")</f>
        <v>III-1-156</v>
      </c>
      <c r="B33" t="str">
        <f ca="1">IFERROR(__xludf.DUMMYFUNCTION("""COMPUTED_VALUE"""),"Денисенко")</f>
        <v>Денисенко</v>
      </c>
      <c r="C33" t="str">
        <f ca="1">IFERROR(__xludf.DUMMYFUNCTION("""COMPUTED_VALUE"""),"Гордей")</f>
        <v>Гордей</v>
      </c>
      <c r="D33" t="str">
        <f ca="1">IFERROR(__xludf.DUMMYFUNCTION("""COMPUTED_VALUE"""),"Школа 512")</f>
        <v>Школа 512</v>
      </c>
      <c r="E33" s="5">
        <f ca="1">IFERROR(__xludf.DUMMYFUNCTION("""COMPUTED_VALUE"""),2)</f>
        <v>2</v>
      </c>
      <c r="F33" s="5">
        <f ca="1">IFERROR(__xludf.DUMMYFUNCTION("""COMPUTED_VALUE"""),3)</f>
        <v>3</v>
      </c>
      <c r="G33" s="5">
        <f ca="1">IFERROR(__xludf.DUMMYFUNCTION("""COMPUTED_VALUE"""),3)</f>
        <v>3</v>
      </c>
      <c r="H33" s="5">
        <f ca="1">IFERROR(__xludf.DUMMYFUNCTION("""COMPUTED_VALUE"""),0)</f>
        <v>0</v>
      </c>
      <c r="I33" s="5">
        <f ca="1">IFERROR(__xludf.DUMMYFUNCTION("""COMPUTED_VALUE"""),0)</f>
        <v>0</v>
      </c>
      <c r="J33" s="5">
        <f ca="1">IFERROR(__xludf.DUMMYFUNCTION("""COMPUTED_VALUE"""),4)</f>
        <v>4</v>
      </c>
      <c r="K33" s="5">
        <f ca="1">IFERROR(__xludf.DUMMYFUNCTION("""COMPUTED_VALUE"""),4)</f>
        <v>4</v>
      </c>
      <c r="L33" s="5">
        <f ca="1">IFERROR(__xludf.DUMMYFUNCTION("""COMPUTED_VALUE"""),1)</f>
        <v>1</v>
      </c>
      <c r="M33">
        <f ca="1">IFERROR(__xludf.DUMMYFUNCTION("""COMPUTED_VALUE"""),17)</f>
        <v>17</v>
      </c>
      <c r="N33" s="8" t="str">
        <f ca="1">IFERROR(__xludf.DUMMYFUNCTION("""COMPUTED_VALUE"""),"Д3")</f>
        <v>Д3</v>
      </c>
    </row>
    <row r="34" spans="1:14" ht="12.45" hidden="1">
      <c r="A34" t="str">
        <f ca="1">IFERROR(__xludf.DUMMYFUNCTION("""COMPUTED_VALUE"""),"III-1-042")</f>
        <v>III-1-042</v>
      </c>
      <c r="B34" t="str">
        <f ca="1">IFERROR(__xludf.DUMMYFUNCTION("""COMPUTED_VALUE"""),"Бакулин")</f>
        <v>Бакулин</v>
      </c>
      <c r="C34" t="str">
        <f ca="1">IFERROR(__xludf.DUMMYFUNCTION("""COMPUTED_VALUE"""),"Роман")</f>
        <v>Роман</v>
      </c>
      <c r="D34" t="str">
        <f ca="1">IFERROR(__xludf.DUMMYFUNCTION("""COMPUTED_VALUE"""),"Гимназия 261")</f>
        <v>Гимназия 261</v>
      </c>
      <c r="E34" s="5">
        <f ca="1">IFERROR(__xludf.DUMMYFUNCTION("""COMPUTED_VALUE"""),2)</f>
        <v>2</v>
      </c>
      <c r="F34" s="5">
        <f ca="1">IFERROR(__xludf.DUMMYFUNCTION("""COMPUTED_VALUE"""),3)</f>
        <v>3</v>
      </c>
      <c r="G34" s="5">
        <f ca="1">IFERROR(__xludf.DUMMYFUNCTION("""COMPUTED_VALUE"""),3)</f>
        <v>3</v>
      </c>
      <c r="H34" s="5">
        <f ca="1">IFERROR(__xludf.DUMMYFUNCTION("""COMPUTED_VALUE"""),0)</f>
        <v>0</v>
      </c>
      <c r="I34" s="5">
        <f ca="1">IFERROR(__xludf.DUMMYFUNCTION("""COMPUTED_VALUE"""),0)</f>
        <v>0</v>
      </c>
      <c r="J34" s="5">
        <f ca="1">IFERROR(__xludf.DUMMYFUNCTION("""COMPUTED_VALUE"""),4)</f>
        <v>4</v>
      </c>
      <c r="K34" s="5">
        <f ca="1">IFERROR(__xludf.DUMMYFUNCTION("""COMPUTED_VALUE"""),4)</f>
        <v>4</v>
      </c>
      <c r="L34" s="5">
        <f ca="1">IFERROR(__xludf.DUMMYFUNCTION("""COMPUTED_VALUE"""),1)</f>
        <v>1</v>
      </c>
      <c r="M34">
        <f ca="1">IFERROR(__xludf.DUMMYFUNCTION("""COMPUTED_VALUE"""),17)</f>
        <v>17</v>
      </c>
      <c r="N34" s="8" t="str">
        <f ca="1">IFERROR(__xludf.DUMMYFUNCTION("""COMPUTED_VALUE"""),"Д3")</f>
        <v>Д3</v>
      </c>
    </row>
    <row r="35" spans="1:14" ht="12.45" hidden="1">
      <c r="A35" t="str">
        <f ca="1">IFERROR(__xludf.DUMMYFUNCTION("""COMPUTED_VALUE"""),"III-1-074")</f>
        <v>III-1-074</v>
      </c>
      <c r="B35" t="str">
        <f ca="1">IFERROR(__xludf.DUMMYFUNCTION("""COMPUTED_VALUE"""),"Бочков")</f>
        <v>Бочков</v>
      </c>
      <c r="C35" t="str">
        <f ca="1">IFERROR(__xludf.DUMMYFUNCTION("""COMPUTED_VALUE"""),"Андрей")</f>
        <v>Андрей</v>
      </c>
      <c r="D35" t="str">
        <f ca="1">IFERROR(__xludf.DUMMYFUNCTION("""COMPUTED_VALUE"""),"Гимназия 166")</f>
        <v>Гимназия 166</v>
      </c>
      <c r="E35" s="5">
        <f ca="1">IFERROR(__xludf.DUMMYFUNCTION("""COMPUTED_VALUE"""),2)</f>
        <v>2</v>
      </c>
      <c r="F35" s="5">
        <f ca="1">IFERROR(__xludf.DUMMYFUNCTION("""COMPUTED_VALUE"""),3)</f>
        <v>3</v>
      </c>
      <c r="G35" s="5"/>
      <c r="H35" s="5">
        <f ca="1">IFERROR(__xludf.DUMMYFUNCTION("""COMPUTED_VALUE"""),1)</f>
        <v>1</v>
      </c>
      <c r="I35" s="5">
        <f ca="1">IFERROR(__xludf.DUMMYFUNCTION("""COMPUTED_VALUE"""),2)</f>
        <v>2</v>
      </c>
      <c r="J35" s="5">
        <f ca="1">IFERROR(__xludf.DUMMYFUNCTION("""COMPUTED_VALUE"""),4)</f>
        <v>4</v>
      </c>
      <c r="K35" s="5">
        <f ca="1">IFERROR(__xludf.DUMMYFUNCTION("""COMPUTED_VALUE"""),4)</f>
        <v>4</v>
      </c>
      <c r="L35" s="5">
        <f ca="1">IFERROR(__xludf.DUMMYFUNCTION("""COMPUTED_VALUE"""),1)</f>
        <v>1</v>
      </c>
      <c r="M35">
        <f ca="1">IFERROR(__xludf.DUMMYFUNCTION("""COMPUTED_VALUE"""),17)</f>
        <v>17</v>
      </c>
      <c r="N35" s="8" t="str">
        <f ca="1">IFERROR(__xludf.DUMMYFUNCTION("""COMPUTED_VALUE"""),"Д3")</f>
        <v>Д3</v>
      </c>
    </row>
    <row r="36" spans="1:14" ht="12.45" hidden="1">
      <c r="A36" t="str">
        <f ca="1">IFERROR(__xludf.DUMMYFUNCTION("""COMPUTED_VALUE"""),"V-1-351")</f>
        <v>V-1-351</v>
      </c>
      <c r="B36" t="str">
        <f ca="1">IFERROR(__xludf.DUMMYFUNCTION("""COMPUTED_VALUE"""),"Нарожный")</f>
        <v>Нарожный</v>
      </c>
      <c r="C36" t="str">
        <f ca="1">IFERROR(__xludf.DUMMYFUNCTION("""COMPUTED_VALUE"""),"Юрий")</f>
        <v>Юрий</v>
      </c>
      <c r="D36" t="str">
        <f ca="1">IFERROR(__xludf.DUMMYFUNCTION("""COMPUTED_VALUE"""),"Школа 641")</f>
        <v>Школа 641</v>
      </c>
      <c r="E36" s="5">
        <f ca="1">IFERROR(__xludf.DUMMYFUNCTION("""COMPUTED_VALUE"""),2)</f>
        <v>2</v>
      </c>
      <c r="F36" s="5">
        <f ca="1">IFERROR(__xludf.DUMMYFUNCTION("""COMPUTED_VALUE"""),3)</f>
        <v>3</v>
      </c>
      <c r="G36" s="5">
        <f ca="1">IFERROR(__xludf.DUMMYFUNCTION("""COMPUTED_VALUE"""),3)</f>
        <v>3</v>
      </c>
      <c r="H36" s="5">
        <f ca="1">IFERROR(__xludf.DUMMYFUNCTION("""COMPUTED_VALUE"""),0)</f>
        <v>0</v>
      </c>
      <c r="I36" s="5">
        <f ca="1">IFERROR(__xludf.DUMMYFUNCTION("""COMPUTED_VALUE"""),0)</f>
        <v>0</v>
      </c>
      <c r="J36" s="5">
        <f ca="1">IFERROR(__xludf.DUMMYFUNCTION("""COMPUTED_VALUE"""),4)</f>
        <v>4</v>
      </c>
      <c r="K36" s="5">
        <f ca="1">IFERROR(__xludf.DUMMYFUNCTION("""COMPUTED_VALUE"""),4)</f>
        <v>4</v>
      </c>
      <c r="L36" s="5">
        <f ca="1">IFERROR(__xludf.DUMMYFUNCTION("""COMPUTED_VALUE"""),1)</f>
        <v>1</v>
      </c>
      <c r="M36">
        <f ca="1">IFERROR(__xludf.DUMMYFUNCTION("""COMPUTED_VALUE"""),17)</f>
        <v>17</v>
      </c>
      <c r="N36" s="8" t="str">
        <f ca="1">IFERROR(__xludf.DUMMYFUNCTION("""COMPUTED_VALUE"""),"Д3")</f>
        <v>Д3</v>
      </c>
    </row>
    <row r="37" spans="1:14" ht="12.45" hidden="1">
      <c r="A37" t="str">
        <f ca="1">IFERROR(__xludf.DUMMYFUNCTION("""COMPUTED_VALUE"""),"V-1-330")</f>
        <v>V-1-330</v>
      </c>
      <c r="B37" t="str">
        <f ca="1">IFERROR(__xludf.DUMMYFUNCTION("""COMPUTED_VALUE"""),"Михайлов")</f>
        <v>Михайлов</v>
      </c>
      <c r="C37" t="str">
        <f ca="1">IFERROR(__xludf.DUMMYFUNCTION("""COMPUTED_VALUE"""),"Даниил")</f>
        <v>Даниил</v>
      </c>
      <c r="D37" t="str">
        <f ca="1">IFERROR(__xludf.DUMMYFUNCTION("""COMPUTED_VALUE"""),"Школа Квадривиум")</f>
        <v>Школа Квадривиум</v>
      </c>
      <c r="E37" s="5">
        <f ca="1">IFERROR(__xludf.DUMMYFUNCTION("""COMPUTED_VALUE"""),2)</f>
        <v>2</v>
      </c>
      <c r="F37" s="5">
        <f ca="1">IFERROR(__xludf.DUMMYFUNCTION("""COMPUTED_VALUE"""),3)</f>
        <v>3</v>
      </c>
      <c r="G37" s="5">
        <f ca="1">IFERROR(__xludf.DUMMYFUNCTION("""COMPUTED_VALUE"""),3)</f>
        <v>3</v>
      </c>
      <c r="H37" s="5">
        <f ca="1">IFERROR(__xludf.DUMMYFUNCTION("""COMPUTED_VALUE"""),0)</f>
        <v>0</v>
      </c>
      <c r="I37" s="5">
        <f ca="1">IFERROR(__xludf.DUMMYFUNCTION("""COMPUTED_VALUE"""),0)</f>
        <v>0</v>
      </c>
      <c r="J37" s="5">
        <f ca="1">IFERROR(__xludf.DUMMYFUNCTION("""COMPUTED_VALUE"""),4)</f>
        <v>4</v>
      </c>
      <c r="K37" s="5">
        <f ca="1">IFERROR(__xludf.DUMMYFUNCTION("""COMPUTED_VALUE"""),4)</f>
        <v>4</v>
      </c>
      <c r="L37" s="5">
        <f ca="1">IFERROR(__xludf.DUMMYFUNCTION("""COMPUTED_VALUE"""),0)</f>
        <v>0</v>
      </c>
      <c r="M37">
        <f ca="1">IFERROR(__xludf.DUMMYFUNCTION("""COMPUTED_VALUE"""),16)</f>
        <v>16</v>
      </c>
      <c r="N37" s="8" t="str">
        <f ca="1">IFERROR(__xludf.DUMMYFUNCTION("""COMPUTED_VALUE"""),"Д3")</f>
        <v>Д3</v>
      </c>
    </row>
    <row r="38" spans="1:14" ht="12.45" hidden="1">
      <c r="A38" t="str">
        <f ca="1">IFERROR(__xludf.DUMMYFUNCTION("""COMPUTED_VALUE"""),"V-1-604")</f>
        <v>V-1-604</v>
      </c>
      <c r="B38" t="str">
        <f ca="1">IFERROR(__xludf.DUMMYFUNCTION("""COMPUTED_VALUE"""),"Шульгина")</f>
        <v>Шульгина</v>
      </c>
      <c r="C38" t="str">
        <f ca="1">IFERROR(__xludf.DUMMYFUNCTION("""COMPUTED_VALUE"""),"Василиса")</f>
        <v>Василиса</v>
      </c>
      <c r="D38" t="str">
        <f ca="1">IFERROR(__xludf.DUMMYFUNCTION("""COMPUTED_VALUE"""),"Гимназия 49")</f>
        <v>Гимназия 49</v>
      </c>
      <c r="E38" s="5">
        <f ca="1">IFERROR(__xludf.DUMMYFUNCTION("""COMPUTED_VALUE"""),2)</f>
        <v>2</v>
      </c>
      <c r="F38" s="5">
        <f ca="1">IFERROR(__xludf.DUMMYFUNCTION("""COMPUTED_VALUE"""),3)</f>
        <v>3</v>
      </c>
      <c r="G38" s="5">
        <f ca="1">IFERROR(__xludf.DUMMYFUNCTION("""COMPUTED_VALUE"""),3)</f>
        <v>3</v>
      </c>
      <c r="H38" s="5">
        <f ca="1">IFERROR(__xludf.DUMMYFUNCTION("""COMPUTED_VALUE"""),1)</f>
        <v>1</v>
      </c>
      <c r="I38" s="5">
        <f ca="1">IFERROR(__xludf.DUMMYFUNCTION("""COMPUTED_VALUE"""),2)</f>
        <v>2</v>
      </c>
      <c r="J38" s="5">
        <f ca="1">IFERROR(__xludf.DUMMYFUNCTION("""COMPUTED_VALUE"""),4)</f>
        <v>4</v>
      </c>
      <c r="K38" s="5">
        <f ca="1">IFERROR(__xludf.DUMMYFUNCTION("""COMPUTED_VALUE"""),0)</f>
        <v>0</v>
      </c>
      <c r="L38" s="5">
        <f ca="1">IFERROR(__xludf.DUMMYFUNCTION("""COMPUTED_VALUE"""),1)</f>
        <v>1</v>
      </c>
      <c r="M38">
        <f ca="1">IFERROR(__xludf.DUMMYFUNCTION("""COMPUTED_VALUE"""),16)</f>
        <v>16</v>
      </c>
      <c r="N38" s="8" t="str">
        <f ca="1">IFERROR(__xludf.DUMMYFUNCTION("""COMPUTED_VALUE"""),"Д3")</f>
        <v>Д3</v>
      </c>
    </row>
    <row r="39" spans="1:14" ht="12.45" hidden="1">
      <c r="A39" t="str">
        <f ca="1">IFERROR(__xludf.DUMMYFUNCTION("""COMPUTED_VALUE"""),"III-1-199")</f>
        <v>III-1-199</v>
      </c>
      <c r="B39" t="str">
        <f ca="1">IFERROR(__xludf.DUMMYFUNCTION("""COMPUTED_VALUE"""),"Иванищева")</f>
        <v>Иванищева</v>
      </c>
      <c r="C39" t="str">
        <f ca="1">IFERROR(__xludf.DUMMYFUNCTION("""COMPUTED_VALUE"""),"Таисия")</f>
        <v>Таисия</v>
      </c>
      <c r="D39" t="str">
        <f ca="1">IFERROR(__xludf.DUMMYFUNCTION("""COMPUTED_VALUE"""),"Школа 328")</f>
        <v>Школа 328</v>
      </c>
      <c r="E39" s="5">
        <f ca="1">IFERROR(__xludf.DUMMYFUNCTION("""COMPUTED_VALUE"""),2)</f>
        <v>2</v>
      </c>
      <c r="F39" s="5">
        <f ca="1">IFERROR(__xludf.DUMMYFUNCTION("""COMPUTED_VALUE"""),0)</f>
        <v>0</v>
      </c>
      <c r="G39" s="5">
        <f ca="1">IFERROR(__xludf.DUMMYFUNCTION("""COMPUTED_VALUE"""),3)</f>
        <v>3</v>
      </c>
      <c r="H39" s="5"/>
      <c r="I39" s="5">
        <f ca="1">IFERROR(__xludf.DUMMYFUNCTION("""COMPUTED_VALUE"""),2)</f>
        <v>2</v>
      </c>
      <c r="J39" s="5">
        <f ca="1">IFERROR(__xludf.DUMMYFUNCTION("""COMPUTED_VALUE"""),4)</f>
        <v>4</v>
      </c>
      <c r="K39" s="5">
        <f ca="1">IFERROR(__xludf.DUMMYFUNCTION("""COMPUTED_VALUE"""),4)</f>
        <v>4</v>
      </c>
      <c r="L39" s="5">
        <f ca="1">IFERROR(__xludf.DUMMYFUNCTION("""COMPUTED_VALUE"""),1)</f>
        <v>1</v>
      </c>
      <c r="M39">
        <f ca="1">IFERROR(__xludf.DUMMYFUNCTION("""COMPUTED_VALUE"""),16)</f>
        <v>16</v>
      </c>
      <c r="N39" s="8" t="str">
        <f ca="1">IFERROR(__xludf.DUMMYFUNCTION("""COMPUTED_VALUE"""),"Д3")</f>
        <v>Д3</v>
      </c>
    </row>
    <row r="40" spans="1:14" ht="12.45" hidden="1">
      <c r="A40" t="str">
        <f ca="1">IFERROR(__xludf.DUMMYFUNCTION("""COMPUTED_VALUE"""),"V-1-426")</f>
        <v>V-1-426</v>
      </c>
      <c r="B40" t="str">
        <f ca="1">IFERROR(__xludf.DUMMYFUNCTION("""COMPUTED_VALUE"""),"Путра")</f>
        <v>Путра</v>
      </c>
      <c r="C40" t="str">
        <f ca="1">IFERROR(__xludf.DUMMYFUNCTION("""COMPUTED_VALUE"""),"Марк")</f>
        <v>Марк</v>
      </c>
      <c r="D40" t="str">
        <f ca="1">IFERROR(__xludf.DUMMYFUNCTION("""COMPUTED_VALUE"""),"Гимназия Гимназия при ГРМ")</f>
        <v>Гимназия Гимназия при ГРМ</v>
      </c>
      <c r="E40" s="5">
        <f ca="1">IFERROR(__xludf.DUMMYFUNCTION("""COMPUTED_VALUE"""),2)</f>
        <v>2</v>
      </c>
      <c r="F40" s="5">
        <f ca="1">IFERROR(__xludf.DUMMYFUNCTION("""COMPUTED_VALUE"""),0)</f>
        <v>0</v>
      </c>
      <c r="G40" s="5">
        <f ca="1">IFERROR(__xludf.DUMMYFUNCTION("""COMPUTED_VALUE"""),3)</f>
        <v>3</v>
      </c>
      <c r="H40" s="5">
        <f ca="1">IFERROR(__xludf.DUMMYFUNCTION("""COMPUTED_VALUE"""),0)</f>
        <v>0</v>
      </c>
      <c r="I40" s="5">
        <f ca="1">IFERROR(__xludf.DUMMYFUNCTION("""COMPUTED_VALUE"""),2)</f>
        <v>2</v>
      </c>
      <c r="J40" s="5">
        <f ca="1">IFERROR(__xludf.DUMMYFUNCTION("""COMPUTED_VALUE"""),4)</f>
        <v>4</v>
      </c>
      <c r="K40" s="5">
        <f ca="1">IFERROR(__xludf.DUMMYFUNCTION("""COMPUTED_VALUE"""),4)</f>
        <v>4</v>
      </c>
      <c r="L40" s="5">
        <f ca="1">IFERROR(__xludf.DUMMYFUNCTION("""COMPUTED_VALUE"""),1)</f>
        <v>1</v>
      </c>
      <c r="M40">
        <f ca="1">IFERROR(__xludf.DUMMYFUNCTION("""COMPUTED_VALUE"""),16)</f>
        <v>16</v>
      </c>
      <c r="N40" s="8" t="str">
        <f ca="1">IFERROR(__xludf.DUMMYFUNCTION("""COMPUTED_VALUE"""),"Д3")</f>
        <v>Д3</v>
      </c>
    </row>
    <row r="41" spans="1:14" ht="12.45" hidden="1">
      <c r="A41" t="str">
        <f ca="1">IFERROR(__xludf.DUMMYFUNCTION("""COMPUTED_VALUE"""),"III-1-072")</f>
        <v>III-1-072</v>
      </c>
      <c r="B41" t="str">
        <f ca="1">IFERROR(__xludf.DUMMYFUNCTION("""COMPUTED_VALUE"""),"Бородкин")</f>
        <v>Бородкин</v>
      </c>
      <c r="C41" t="str">
        <f ca="1">IFERROR(__xludf.DUMMYFUNCTION("""COMPUTED_VALUE"""),"Евгений")</f>
        <v>Евгений</v>
      </c>
      <c r="D41" t="str">
        <f ca="1">IFERROR(__xludf.DUMMYFUNCTION("""COMPUTED_VALUE"""),"Школа 630")</f>
        <v>Школа 630</v>
      </c>
      <c r="E41" s="5">
        <f ca="1">IFERROR(__xludf.DUMMYFUNCTION("""COMPUTED_VALUE"""),2)</f>
        <v>2</v>
      </c>
      <c r="F41" s="5">
        <f ca="1">IFERROR(__xludf.DUMMYFUNCTION("""COMPUTED_VALUE"""),3)</f>
        <v>3</v>
      </c>
      <c r="G41" s="5">
        <f ca="1">IFERROR(__xludf.DUMMYFUNCTION("""COMPUTED_VALUE"""),3)</f>
        <v>3</v>
      </c>
      <c r="H41" s="5">
        <f ca="1">IFERROR(__xludf.DUMMYFUNCTION("""COMPUTED_VALUE"""),1)</f>
        <v>1</v>
      </c>
      <c r="I41" s="5">
        <f ca="1">IFERROR(__xludf.DUMMYFUNCTION("""COMPUTED_VALUE"""),2)</f>
        <v>2</v>
      </c>
      <c r="J41" s="5">
        <f ca="1">IFERROR(__xludf.DUMMYFUNCTION("""COMPUTED_VALUE"""),0)</f>
        <v>0</v>
      </c>
      <c r="K41" s="5">
        <f ca="1">IFERROR(__xludf.DUMMYFUNCTION("""COMPUTED_VALUE"""),4)</f>
        <v>4</v>
      </c>
      <c r="L41" s="5">
        <f ca="1">IFERROR(__xludf.DUMMYFUNCTION("""COMPUTED_VALUE"""),1)</f>
        <v>1</v>
      </c>
      <c r="M41">
        <f ca="1">IFERROR(__xludf.DUMMYFUNCTION("""COMPUTED_VALUE"""),16)</f>
        <v>16</v>
      </c>
      <c r="N41" s="8" t="str">
        <f ca="1">IFERROR(__xludf.DUMMYFUNCTION("""COMPUTED_VALUE"""),"Д3")</f>
        <v>Д3</v>
      </c>
    </row>
    <row r="42" spans="1:14" ht="12.45" hidden="1">
      <c r="A42" t="str">
        <f ca="1">IFERROR(__xludf.DUMMYFUNCTION("""COMPUTED_VALUE"""),"V-1-525")</f>
        <v>V-1-525</v>
      </c>
      <c r="B42" t="str">
        <f ca="1">IFERROR(__xludf.DUMMYFUNCTION("""COMPUTED_VALUE"""),"Томах")</f>
        <v>Томах</v>
      </c>
      <c r="C42" t="str">
        <f ca="1">IFERROR(__xludf.DUMMYFUNCTION("""COMPUTED_VALUE"""),"Михаил")</f>
        <v>Михаил</v>
      </c>
      <c r="D42" t="str">
        <f ca="1">IFERROR(__xludf.DUMMYFUNCTION("""COMPUTED_VALUE"""),"Гимназия 642")</f>
        <v>Гимназия 642</v>
      </c>
      <c r="E42" s="5">
        <f ca="1">IFERROR(__xludf.DUMMYFUNCTION("""COMPUTED_VALUE"""),1)</f>
        <v>1</v>
      </c>
      <c r="F42" s="5">
        <f ca="1">IFERROR(__xludf.DUMMYFUNCTION("""COMPUTED_VALUE"""),3)</f>
        <v>3</v>
      </c>
      <c r="G42" s="5">
        <f ca="1">IFERROR(__xludf.DUMMYFUNCTION("""COMPUTED_VALUE"""),3)</f>
        <v>3</v>
      </c>
      <c r="H42" s="5">
        <f ca="1">IFERROR(__xludf.DUMMYFUNCTION("""COMPUTED_VALUE"""),0)</f>
        <v>0</v>
      </c>
      <c r="I42" s="5">
        <f ca="1">IFERROR(__xludf.DUMMYFUNCTION("""COMPUTED_VALUE"""),0)</f>
        <v>0</v>
      </c>
      <c r="J42" s="5">
        <f ca="1">IFERROR(__xludf.DUMMYFUNCTION("""COMPUTED_VALUE"""),4)</f>
        <v>4</v>
      </c>
      <c r="K42" s="5">
        <f ca="1">IFERROR(__xludf.DUMMYFUNCTION("""COMPUTED_VALUE"""),4)</f>
        <v>4</v>
      </c>
      <c r="L42" s="5">
        <f ca="1">IFERROR(__xludf.DUMMYFUNCTION("""COMPUTED_VALUE"""),1)</f>
        <v>1</v>
      </c>
      <c r="M42">
        <f ca="1">IFERROR(__xludf.DUMMYFUNCTION("""COMPUTED_VALUE"""),16)</f>
        <v>16</v>
      </c>
      <c r="N42" s="8" t="str">
        <f ca="1">IFERROR(__xludf.DUMMYFUNCTION("""COMPUTED_VALUE"""),"Д3")</f>
        <v>Д3</v>
      </c>
    </row>
    <row r="43" spans="1:14" ht="12.45" hidden="1">
      <c r="A43" t="str">
        <f ca="1">IFERROR(__xludf.DUMMYFUNCTION("""COMPUTED_VALUE"""),"III-1-188")</f>
        <v>III-1-188</v>
      </c>
      <c r="B43" t="str">
        <f ca="1">IFERROR(__xludf.DUMMYFUNCTION("""COMPUTED_VALUE"""),"Зверьков")</f>
        <v>Зверьков</v>
      </c>
      <c r="C43" t="str">
        <f ca="1">IFERROR(__xludf.DUMMYFUNCTION("""COMPUTED_VALUE"""),"Фёдор")</f>
        <v>Фёдор</v>
      </c>
      <c r="D43" t="str">
        <f ca="1">IFERROR(__xludf.DUMMYFUNCTION("""COMPUTED_VALUE"""),"Школа 494")</f>
        <v>Школа 494</v>
      </c>
      <c r="E43" s="5">
        <f ca="1">IFERROR(__xludf.DUMMYFUNCTION("""COMPUTED_VALUE"""),1)</f>
        <v>1</v>
      </c>
      <c r="F43" s="5">
        <f ca="1">IFERROR(__xludf.DUMMYFUNCTION("""COMPUTED_VALUE"""),3)</f>
        <v>3</v>
      </c>
      <c r="G43" s="5">
        <f ca="1">IFERROR(__xludf.DUMMYFUNCTION("""COMPUTED_VALUE"""),3)</f>
        <v>3</v>
      </c>
      <c r="H43" s="5">
        <f ca="1">IFERROR(__xludf.DUMMYFUNCTION("""COMPUTED_VALUE"""),0)</f>
        <v>0</v>
      </c>
      <c r="I43" s="5">
        <f ca="1">IFERROR(__xludf.DUMMYFUNCTION("""COMPUTED_VALUE"""),0)</f>
        <v>0</v>
      </c>
      <c r="J43" s="5">
        <f ca="1">IFERROR(__xludf.DUMMYFUNCTION("""COMPUTED_VALUE"""),4)</f>
        <v>4</v>
      </c>
      <c r="K43" s="5">
        <f ca="1">IFERROR(__xludf.DUMMYFUNCTION("""COMPUTED_VALUE"""),4)</f>
        <v>4</v>
      </c>
      <c r="L43" s="5">
        <f ca="1">IFERROR(__xludf.DUMMYFUNCTION("""COMPUTED_VALUE"""),1)</f>
        <v>1</v>
      </c>
      <c r="M43">
        <f ca="1">IFERROR(__xludf.DUMMYFUNCTION("""COMPUTED_VALUE"""),16)</f>
        <v>16</v>
      </c>
      <c r="N43" s="8" t="str">
        <f ca="1">IFERROR(__xludf.DUMMYFUNCTION("""COMPUTED_VALUE"""),"Д3")</f>
        <v>Д3</v>
      </c>
    </row>
    <row r="44" spans="1:14" ht="12.45" hidden="1">
      <c r="A44" t="str">
        <f ca="1">IFERROR(__xludf.DUMMYFUNCTION("""COMPUTED_VALUE"""),"V-1-397")</f>
        <v>V-1-397</v>
      </c>
      <c r="B44" t="str">
        <f ca="1">IFERROR(__xludf.DUMMYFUNCTION("""COMPUTED_VALUE"""),"Пешкова")</f>
        <v>Пешкова</v>
      </c>
      <c r="C44" t="str">
        <f ca="1">IFERROR(__xludf.DUMMYFUNCTION("""COMPUTED_VALUE"""),"Александра")</f>
        <v>Александра</v>
      </c>
      <c r="D44" t="str">
        <f ca="1">IFERROR(__xludf.DUMMYFUNCTION("""COMPUTED_VALUE"""),"Лицей 344")</f>
        <v>Лицей 344</v>
      </c>
      <c r="E44" s="5">
        <f ca="1">IFERROR(__xludf.DUMMYFUNCTION("""COMPUTED_VALUE"""),0)</f>
        <v>0</v>
      </c>
      <c r="F44" s="5">
        <f ca="1">IFERROR(__xludf.DUMMYFUNCTION("""COMPUTED_VALUE"""),3)</f>
        <v>3</v>
      </c>
      <c r="G44" s="5">
        <f ca="1">IFERROR(__xludf.DUMMYFUNCTION("""COMPUTED_VALUE"""),3)</f>
        <v>3</v>
      </c>
      <c r="H44" s="5"/>
      <c r="I44" s="5"/>
      <c r="J44" s="5">
        <f ca="1">IFERROR(__xludf.DUMMYFUNCTION("""COMPUTED_VALUE"""),4)</f>
        <v>4</v>
      </c>
      <c r="K44" s="5">
        <f ca="1">IFERROR(__xludf.DUMMYFUNCTION("""COMPUTED_VALUE"""),4)</f>
        <v>4</v>
      </c>
      <c r="L44" s="5">
        <f ca="1">IFERROR(__xludf.DUMMYFUNCTION("""COMPUTED_VALUE"""),1)</f>
        <v>1</v>
      </c>
      <c r="M44">
        <f ca="1">IFERROR(__xludf.DUMMYFUNCTION("""COMPUTED_VALUE"""),15)</f>
        <v>15</v>
      </c>
      <c r="N44" s="8" t="str">
        <f ca="1">IFERROR(__xludf.DUMMYFUNCTION("""COMPUTED_VALUE"""),"Д3")</f>
        <v>Д3</v>
      </c>
    </row>
    <row r="45" spans="1:14" ht="12.45" hidden="1">
      <c r="A45" t="str">
        <f ca="1">IFERROR(__xludf.DUMMYFUNCTION("""COMPUTED_VALUE"""),"III-1-169")</f>
        <v>III-1-169</v>
      </c>
      <c r="B45" t="str">
        <f ca="1">IFERROR(__xludf.DUMMYFUNCTION("""COMPUTED_VALUE"""),"Дубров")</f>
        <v>Дубров</v>
      </c>
      <c r="C45" t="str">
        <f ca="1">IFERROR(__xludf.DUMMYFUNCTION("""COMPUTED_VALUE"""),"Максим")</f>
        <v>Максим</v>
      </c>
      <c r="D45" t="str">
        <f ca="1">IFERROR(__xludf.DUMMYFUNCTION("""COMPUTED_VALUE"""),"Школа 489")</f>
        <v>Школа 489</v>
      </c>
      <c r="E45" s="5">
        <f ca="1">IFERROR(__xludf.DUMMYFUNCTION("""COMPUTED_VALUE"""),0)</f>
        <v>0</v>
      </c>
      <c r="F45" s="5">
        <f ca="1">IFERROR(__xludf.DUMMYFUNCTION("""COMPUTED_VALUE"""),3)</f>
        <v>3</v>
      </c>
      <c r="G45" s="5">
        <f ca="1">IFERROR(__xludf.DUMMYFUNCTION("""COMPUTED_VALUE"""),3)</f>
        <v>3</v>
      </c>
      <c r="H45" s="5">
        <f ca="1">IFERROR(__xludf.DUMMYFUNCTION("""COMPUTED_VALUE"""),0)</f>
        <v>0</v>
      </c>
      <c r="I45" s="5">
        <f ca="1">IFERROR(__xludf.DUMMYFUNCTION("""COMPUTED_VALUE"""),0)</f>
        <v>0</v>
      </c>
      <c r="J45" s="5">
        <f ca="1">IFERROR(__xludf.DUMMYFUNCTION("""COMPUTED_VALUE"""),4)</f>
        <v>4</v>
      </c>
      <c r="K45" s="5">
        <f ca="1">IFERROR(__xludf.DUMMYFUNCTION("""COMPUTED_VALUE"""),4)</f>
        <v>4</v>
      </c>
      <c r="L45" s="5">
        <f ca="1">IFERROR(__xludf.DUMMYFUNCTION("""COMPUTED_VALUE"""),1)</f>
        <v>1</v>
      </c>
      <c r="M45">
        <f ca="1">IFERROR(__xludf.DUMMYFUNCTION("""COMPUTED_VALUE"""),15)</f>
        <v>15</v>
      </c>
      <c r="N45" s="8" t="str">
        <f ca="1">IFERROR(__xludf.DUMMYFUNCTION("""COMPUTED_VALUE"""),"Д3")</f>
        <v>Д3</v>
      </c>
    </row>
    <row r="46" spans="1:14" ht="12.45" hidden="1">
      <c r="A46" t="str">
        <f ca="1">IFERROR(__xludf.DUMMYFUNCTION("""COMPUTED_VALUE"""),"III-1-163")</f>
        <v>III-1-163</v>
      </c>
      <c r="B46" t="str">
        <f ca="1">IFERROR(__xludf.DUMMYFUNCTION("""COMPUTED_VALUE"""),"Довженко")</f>
        <v>Довженко</v>
      </c>
      <c r="C46" t="str">
        <f ca="1">IFERROR(__xludf.DUMMYFUNCTION("""COMPUTED_VALUE"""),"Мария")</f>
        <v>Мария</v>
      </c>
      <c r="D46" t="str">
        <f ca="1">IFERROR(__xludf.DUMMYFUNCTION("""COMPUTED_VALUE"""),"Гимназия 642")</f>
        <v>Гимназия 642</v>
      </c>
      <c r="E46" s="5">
        <f ca="1">IFERROR(__xludf.DUMMYFUNCTION("""COMPUTED_VALUE"""),2)</f>
        <v>2</v>
      </c>
      <c r="F46" s="5">
        <f ca="1">IFERROR(__xludf.DUMMYFUNCTION("""COMPUTED_VALUE"""),0)</f>
        <v>0</v>
      </c>
      <c r="G46" s="5">
        <f ca="1">IFERROR(__xludf.DUMMYFUNCTION("""COMPUTED_VALUE"""),3)</f>
        <v>3</v>
      </c>
      <c r="H46" s="5">
        <f ca="1">IFERROR(__xludf.DUMMYFUNCTION("""COMPUTED_VALUE"""),5)</f>
        <v>5</v>
      </c>
      <c r="I46" s="5">
        <f ca="1">IFERROR(__xludf.DUMMYFUNCTION("""COMPUTED_VALUE"""),0)</f>
        <v>0</v>
      </c>
      <c r="J46" s="5">
        <f ca="1">IFERROR(__xludf.DUMMYFUNCTION("""COMPUTED_VALUE"""),4)</f>
        <v>4</v>
      </c>
      <c r="K46" s="5">
        <f ca="1">IFERROR(__xludf.DUMMYFUNCTION("""COMPUTED_VALUE"""),0)</f>
        <v>0</v>
      </c>
      <c r="L46" s="5">
        <f ca="1">IFERROR(__xludf.DUMMYFUNCTION("""COMPUTED_VALUE"""),1)</f>
        <v>1</v>
      </c>
      <c r="M46">
        <f ca="1">IFERROR(__xludf.DUMMYFUNCTION("""COMPUTED_VALUE"""),15)</f>
        <v>15</v>
      </c>
      <c r="N46" s="8" t="str">
        <f ca="1">IFERROR(__xludf.DUMMYFUNCTION("""COMPUTED_VALUE"""),"Д3")</f>
        <v>Д3</v>
      </c>
    </row>
    <row r="47" spans="1:14" ht="12.45" hidden="1">
      <c r="A47" t="str">
        <f ca="1">IFERROR(__xludf.DUMMYFUNCTION("""COMPUTED_VALUE"""),"V-1-358")</f>
        <v>V-1-358</v>
      </c>
      <c r="B47" t="str">
        <f ca="1">IFERROR(__xludf.DUMMYFUNCTION("""COMPUTED_VALUE"""),"Никифорова")</f>
        <v>Никифорова</v>
      </c>
      <c r="C47" t="str">
        <f ca="1">IFERROR(__xludf.DUMMYFUNCTION("""COMPUTED_VALUE"""),"Марина")</f>
        <v>Марина</v>
      </c>
      <c r="D47" t="str">
        <f ca="1">IFERROR(__xludf.DUMMYFUNCTION("""COMPUTED_VALUE"""),"Гимназия 642 Земля и Вселенная")</f>
        <v>Гимназия 642 Земля и Вселенная</v>
      </c>
      <c r="E47" s="5">
        <f ca="1">IFERROR(__xludf.DUMMYFUNCTION("""COMPUTED_VALUE"""),2)</f>
        <v>2</v>
      </c>
      <c r="F47" s="5">
        <f ca="1">IFERROR(__xludf.DUMMYFUNCTION("""COMPUTED_VALUE"""),3)</f>
        <v>3</v>
      </c>
      <c r="G47" s="5">
        <f ca="1">IFERROR(__xludf.DUMMYFUNCTION("""COMPUTED_VALUE"""),0)</f>
        <v>0</v>
      </c>
      <c r="H47" s="5"/>
      <c r="I47" s="5">
        <f ca="1">IFERROR(__xludf.DUMMYFUNCTION("""COMPUTED_VALUE"""),1)</f>
        <v>1</v>
      </c>
      <c r="J47" s="5">
        <f ca="1">IFERROR(__xludf.DUMMYFUNCTION("""COMPUTED_VALUE"""),4)</f>
        <v>4</v>
      </c>
      <c r="K47" s="5">
        <f ca="1">IFERROR(__xludf.DUMMYFUNCTION("""COMPUTED_VALUE"""),4)</f>
        <v>4</v>
      </c>
      <c r="L47" s="5">
        <f ca="1">IFERROR(__xludf.DUMMYFUNCTION("""COMPUTED_VALUE"""),1)</f>
        <v>1</v>
      </c>
      <c r="M47">
        <f ca="1">IFERROR(__xludf.DUMMYFUNCTION("""COMPUTED_VALUE"""),15)</f>
        <v>15</v>
      </c>
      <c r="N47" s="8" t="str">
        <f ca="1">IFERROR(__xludf.DUMMYFUNCTION("""COMPUTED_VALUE"""),"Д3")</f>
        <v>Д3</v>
      </c>
    </row>
    <row r="48" spans="1:14" ht="12.45" hidden="1">
      <c r="A48" t="str">
        <f ca="1">IFERROR(__xludf.DUMMYFUNCTION("""COMPUTED_VALUE"""),"V-1-391")</f>
        <v>V-1-391</v>
      </c>
      <c r="B48" t="str">
        <f ca="1">IFERROR(__xludf.DUMMYFUNCTION("""COMPUTED_VALUE"""),"Первунинский")</f>
        <v>Первунинский</v>
      </c>
      <c r="C48" t="str">
        <f ca="1">IFERROR(__xludf.DUMMYFUNCTION("""COMPUTED_VALUE"""),"Артемий")</f>
        <v>Артемий</v>
      </c>
      <c r="D48" t="str">
        <f ca="1">IFERROR(__xludf.DUMMYFUNCTION("""COMPUTED_VALUE"""),"Гимназия 166")</f>
        <v>Гимназия 166</v>
      </c>
      <c r="E48" s="5">
        <f ca="1">IFERROR(__xludf.DUMMYFUNCTION("""COMPUTED_VALUE"""),2)</f>
        <v>2</v>
      </c>
      <c r="F48" s="5">
        <f ca="1">IFERROR(__xludf.DUMMYFUNCTION("""COMPUTED_VALUE"""),0)</f>
        <v>0</v>
      </c>
      <c r="G48" s="5">
        <f ca="1">IFERROR(__xludf.DUMMYFUNCTION("""COMPUTED_VALUE"""),3)</f>
        <v>3</v>
      </c>
      <c r="H48" s="5">
        <f ca="1">IFERROR(__xludf.DUMMYFUNCTION("""COMPUTED_VALUE"""),5)</f>
        <v>5</v>
      </c>
      <c r="I48" s="5">
        <f ca="1">IFERROR(__xludf.DUMMYFUNCTION("""COMPUTED_VALUE"""),0)</f>
        <v>0</v>
      </c>
      <c r="J48" s="5"/>
      <c r="K48" s="5">
        <f ca="1">IFERROR(__xludf.DUMMYFUNCTION("""COMPUTED_VALUE"""),4)</f>
        <v>4</v>
      </c>
      <c r="L48" s="5">
        <f ca="1">IFERROR(__xludf.DUMMYFUNCTION("""COMPUTED_VALUE"""),1)</f>
        <v>1</v>
      </c>
      <c r="M48">
        <f ca="1">IFERROR(__xludf.DUMMYFUNCTION("""COMPUTED_VALUE"""),15)</f>
        <v>15</v>
      </c>
      <c r="N48" s="8" t="str">
        <f ca="1">IFERROR(__xludf.DUMMYFUNCTION("""COMPUTED_VALUE"""),"Д3")</f>
        <v>Д3</v>
      </c>
    </row>
    <row r="49" spans="1:14" ht="12.45" hidden="1">
      <c r="A49" t="str">
        <f ca="1">IFERROR(__xludf.DUMMYFUNCTION("""COMPUTED_VALUE"""),"V-1-576")</f>
        <v>V-1-576</v>
      </c>
      <c r="B49" t="str">
        <f ca="1">IFERROR(__xludf.DUMMYFUNCTION("""COMPUTED_VALUE"""),"Черногузов")</f>
        <v>Черногузов</v>
      </c>
      <c r="C49" t="str">
        <f ca="1">IFERROR(__xludf.DUMMYFUNCTION("""COMPUTED_VALUE"""),"Игорь")</f>
        <v>Игорь</v>
      </c>
      <c r="D49" t="str">
        <f ca="1">IFERROR(__xludf.DUMMYFUNCTION("""COMPUTED_VALUE"""),"Школа 544")</f>
        <v>Школа 544</v>
      </c>
      <c r="E49" s="5">
        <f ca="1">IFERROR(__xludf.DUMMYFUNCTION("""COMPUTED_VALUE"""),1)</f>
        <v>1</v>
      </c>
      <c r="F49" s="5">
        <f ca="1">IFERROR(__xludf.DUMMYFUNCTION("""COMPUTED_VALUE"""),3)</f>
        <v>3</v>
      </c>
      <c r="G49" s="5">
        <f ca="1">IFERROR(__xludf.DUMMYFUNCTION("""COMPUTED_VALUE"""),3)</f>
        <v>3</v>
      </c>
      <c r="H49" s="5">
        <f ca="1">IFERROR(__xludf.DUMMYFUNCTION("""COMPUTED_VALUE"""),0)</f>
        <v>0</v>
      </c>
      <c r="I49" s="5">
        <f ca="1">IFERROR(__xludf.DUMMYFUNCTION("""COMPUTED_VALUE"""),0)</f>
        <v>0</v>
      </c>
      <c r="J49" s="5">
        <f ca="1">IFERROR(__xludf.DUMMYFUNCTION("""COMPUTED_VALUE"""),4)</f>
        <v>4</v>
      </c>
      <c r="K49" s="5">
        <f ca="1">IFERROR(__xludf.DUMMYFUNCTION("""COMPUTED_VALUE"""),4)</f>
        <v>4</v>
      </c>
      <c r="L49" s="5">
        <f ca="1">IFERROR(__xludf.DUMMYFUNCTION("""COMPUTED_VALUE"""),0)</f>
        <v>0</v>
      </c>
      <c r="M49">
        <f ca="1">IFERROR(__xludf.DUMMYFUNCTION("""COMPUTED_VALUE"""),15)</f>
        <v>15</v>
      </c>
      <c r="N49" s="8" t="str">
        <f ca="1">IFERROR(__xludf.DUMMYFUNCTION("""COMPUTED_VALUE"""),"Д3")</f>
        <v>Д3</v>
      </c>
    </row>
    <row r="50" spans="1:14" ht="12.45" hidden="1">
      <c r="A50" t="str">
        <f ca="1">IFERROR(__xludf.DUMMYFUNCTION("""COMPUTED_VALUE"""),"III-1-058")</f>
        <v>III-1-058</v>
      </c>
      <c r="B50" t="str">
        <f ca="1">IFERROR(__xludf.DUMMYFUNCTION("""COMPUTED_VALUE"""),"Березин")</f>
        <v>Березин</v>
      </c>
      <c r="C50" t="str">
        <f ca="1">IFERROR(__xludf.DUMMYFUNCTION("""COMPUTED_VALUE"""),"Эдуард")</f>
        <v>Эдуард</v>
      </c>
      <c r="D50" t="str">
        <f ca="1">IFERROR(__xludf.DUMMYFUNCTION("""COMPUTED_VALUE"""),"Школа Кудрово")</f>
        <v>Школа Кудрово</v>
      </c>
      <c r="E50" s="5">
        <f ca="1">IFERROR(__xludf.DUMMYFUNCTION("""COMPUTED_VALUE"""),1)</f>
        <v>1</v>
      </c>
      <c r="F50" s="5">
        <f ca="1">IFERROR(__xludf.DUMMYFUNCTION("""COMPUTED_VALUE"""),0)</f>
        <v>0</v>
      </c>
      <c r="G50" s="5">
        <f ca="1">IFERROR(__xludf.DUMMYFUNCTION("""COMPUTED_VALUE"""),3)</f>
        <v>3</v>
      </c>
      <c r="H50" s="5">
        <f ca="1">IFERROR(__xludf.DUMMYFUNCTION("""COMPUTED_VALUE"""),1)</f>
        <v>1</v>
      </c>
      <c r="I50" s="5">
        <f ca="1">IFERROR(__xludf.DUMMYFUNCTION("""COMPUTED_VALUE"""),0)</f>
        <v>0</v>
      </c>
      <c r="J50" s="5">
        <f ca="1">IFERROR(__xludf.DUMMYFUNCTION("""COMPUTED_VALUE"""),4)</f>
        <v>4</v>
      </c>
      <c r="K50" s="5">
        <f ca="1">IFERROR(__xludf.DUMMYFUNCTION("""COMPUTED_VALUE"""),4)</f>
        <v>4</v>
      </c>
      <c r="L50" s="5">
        <f ca="1">IFERROR(__xludf.DUMMYFUNCTION("""COMPUTED_VALUE"""),1)</f>
        <v>1</v>
      </c>
      <c r="M50">
        <f ca="1">IFERROR(__xludf.DUMMYFUNCTION("""COMPUTED_VALUE"""),14)</f>
        <v>14</v>
      </c>
      <c r="N50" s="8" t="str">
        <f ca="1">IFERROR(__xludf.DUMMYFUNCTION("""COMPUTED_VALUE"""),"ПО1")</f>
        <v>ПО1</v>
      </c>
    </row>
    <row r="51" spans="1:14" ht="12.45" hidden="1">
      <c r="A51" t="str">
        <f ca="1">IFERROR(__xludf.DUMMYFUNCTION("""COMPUTED_VALUE"""),"V-1-373")</f>
        <v>V-1-373</v>
      </c>
      <c r="B51" t="str">
        <f ca="1">IFERROR(__xludf.DUMMYFUNCTION("""COMPUTED_VALUE"""),"Олимпиев")</f>
        <v>Олимпиев</v>
      </c>
      <c r="C51" t="str">
        <f ca="1">IFERROR(__xludf.DUMMYFUNCTION("""COMPUTED_VALUE"""),"Кирилл")</f>
        <v>Кирилл</v>
      </c>
      <c r="D51" t="str">
        <f ca="1">IFERROR(__xludf.DUMMYFUNCTION("""COMPUTED_VALUE"""),"Гимназия 11")</f>
        <v>Гимназия 11</v>
      </c>
      <c r="E51" s="5">
        <f ca="1">IFERROR(__xludf.DUMMYFUNCTION("""COMPUTED_VALUE"""),2)</f>
        <v>2</v>
      </c>
      <c r="F51" s="5">
        <f ca="1">IFERROR(__xludf.DUMMYFUNCTION("""COMPUTED_VALUE"""),3)</f>
        <v>3</v>
      </c>
      <c r="G51" s="5">
        <f ca="1">IFERROR(__xludf.DUMMYFUNCTION("""COMPUTED_VALUE"""),0)</f>
        <v>0</v>
      </c>
      <c r="H51" s="5">
        <f ca="1">IFERROR(__xludf.DUMMYFUNCTION("""COMPUTED_VALUE"""),1)</f>
        <v>1</v>
      </c>
      <c r="I51" s="5">
        <f ca="1">IFERROR(__xludf.DUMMYFUNCTION("""COMPUTED_VALUE"""),0)</f>
        <v>0</v>
      </c>
      <c r="J51" s="5">
        <f ca="1">IFERROR(__xludf.DUMMYFUNCTION("""COMPUTED_VALUE"""),4)</f>
        <v>4</v>
      </c>
      <c r="K51" s="5">
        <f ca="1">IFERROR(__xludf.DUMMYFUNCTION("""COMPUTED_VALUE"""),4)</f>
        <v>4</v>
      </c>
      <c r="L51" s="5">
        <f ca="1">IFERROR(__xludf.DUMMYFUNCTION("""COMPUTED_VALUE"""),0)</f>
        <v>0</v>
      </c>
      <c r="M51">
        <f ca="1">IFERROR(__xludf.DUMMYFUNCTION("""COMPUTED_VALUE"""),14)</f>
        <v>14</v>
      </c>
      <c r="N51" s="8" t="str">
        <f ca="1">IFERROR(__xludf.DUMMYFUNCTION("""COMPUTED_VALUE"""),"ПО1")</f>
        <v>ПО1</v>
      </c>
    </row>
    <row r="52" spans="1:14" ht="12.45" hidden="1">
      <c r="A52" t="str">
        <f ca="1">IFERROR(__xludf.DUMMYFUNCTION("""COMPUTED_VALUE"""),"III-1-165")</f>
        <v>III-1-165</v>
      </c>
      <c r="B52" t="str">
        <f ca="1">IFERROR(__xludf.DUMMYFUNCTION("""COMPUTED_VALUE"""),"Долматова")</f>
        <v>Долматова</v>
      </c>
      <c r="C52" t="str">
        <f ca="1">IFERROR(__xludf.DUMMYFUNCTION("""COMPUTED_VALUE"""),"Мария")</f>
        <v>Мария</v>
      </c>
      <c r="D52" t="str">
        <f ca="1">IFERROR(__xludf.DUMMYFUNCTION("""COMPUTED_VALUE"""),"Школа 246")</f>
        <v>Школа 246</v>
      </c>
      <c r="E52" s="5">
        <f ca="1">IFERROR(__xludf.DUMMYFUNCTION("""COMPUTED_VALUE"""),1)</f>
        <v>1</v>
      </c>
      <c r="F52" s="5"/>
      <c r="G52" s="5">
        <f ca="1">IFERROR(__xludf.DUMMYFUNCTION("""COMPUTED_VALUE"""),3)</f>
        <v>3</v>
      </c>
      <c r="H52" s="5">
        <f ca="1">IFERROR(__xludf.DUMMYFUNCTION("""COMPUTED_VALUE"""),1)</f>
        <v>1</v>
      </c>
      <c r="I52" s="5">
        <f ca="1">IFERROR(__xludf.DUMMYFUNCTION("""COMPUTED_VALUE"""),0)</f>
        <v>0</v>
      </c>
      <c r="J52" s="5">
        <f ca="1">IFERROR(__xludf.DUMMYFUNCTION("""COMPUTED_VALUE"""),4)</f>
        <v>4</v>
      </c>
      <c r="K52" s="5">
        <f ca="1">IFERROR(__xludf.DUMMYFUNCTION("""COMPUTED_VALUE"""),4)</f>
        <v>4</v>
      </c>
      <c r="L52" s="5">
        <f ca="1">IFERROR(__xludf.DUMMYFUNCTION("""COMPUTED_VALUE"""),1)</f>
        <v>1</v>
      </c>
      <c r="M52">
        <f ca="1">IFERROR(__xludf.DUMMYFUNCTION("""COMPUTED_VALUE"""),14)</f>
        <v>14</v>
      </c>
      <c r="N52" s="8" t="str">
        <f ca="1">IFERROR(__xludf.DUMMYFUNCTION("""COMPUTED_VALUE"""),"ПО1")</f>
        <v>ПО1</v>
      </c>
    </row>
    <row r="53" spans="1:14" ht="12.45" hidden="1">
      <c r="A53" t="str">
        <f ca="1">IFERROR(__xludf.DUMMYFUNCTION("""COMPUTED_VALUE"""),"III-1-075")</f>
        <v>III-1-075</v>
      </c>
      <c r="B53" t="str">
        <f ca="1">IFERROR(__xludf.DUMMYFUNCTION("""COMPUTED_VALUE"""),"Бугаев")</f>
        <v>Бугаев</v>
      </c>
      <c r="C53" t="str">
        <f ca="1">IFERROR(__xludf.DUMMYFUNCTION("""COMPUTED_VALUE"""),"Андрей")</f>
        <v>Андрей</v>
      </c>
      <c r="D53" t="str">
        <f ca="1">IFERROR(__xludf.DUMMYFUNCTION("""COMPUTED_VALUE"""),"Гимназия 116")</f>
        <v>Гимназия 116</v>
      </c>
      <c r="E53" s="5">
        <f ca="1">IFERROR(__xludf.DUMMYFUNCTION("""COMPUTED_VALUE"""),2)</f>
        <v>2</v>
      </c>
      <c r="F53" s="5">
        <f ca="1">IFERROR(__xludf.DUMMYFUNCTION("""COMPUTED_VALUE"""),0)</f>
        <v>0</v>
      </c>
      <c r="G53" s="5">
        <f ca="1">IFERROR(__xludf.DUMMYFUNCTION("""COMPUTED_VALUE"""),3)</f>
        <v>3</v>
      </c>
      <c r="H53" s="5">
        <f ca="1">IFERROR(__xludf.DUMMYFUNCTION("""COMPUTED_VALUE"""),0)</f>
        <v>0</v>
      </c>
      <c r="I53" s="5">
        <f ca="1">IFERROR(__xludf.DUMMYFUNCTION("""COMPUTED_VALUE"""),0)</f>
        <v>0</v>
      </c>
      <c r="J53" s="5">
        <f ca="1">IFERROR(__xludf.DUMMYFUNCTION("""COMPUTED_VALUE"""),4)</f>
        <v>4</v>
      </c>
      <c r="K53" s="5">
        <f ca="1">IFERROR(__xludf.DUMMYFUNCTION("""COMPUTED_VALUE"""),4)</f>
        <v>4</v>
      </c>
      <c r="L53" s="5">
        <f ca="1">IFERROR(__xludf.DUMMYFUNCTION("""COMPUTED_VALUE"""),1)</f>
        <v>1</v>
      </c>
      <c r="M53">
        <f ca="1">IFERROR(__xludf.DUMMYFUNCTION("""COMPUTED_VALUE"""),14)</f>
        <v>14</v>
      </c>
      <c r="N53" s="8" t="str">
        <f ca="1">IFERROR(__xludf.DUMMYFUNCTION("""COMPUTED_VALUE"""),"ПО1")</f>
        <v>ПО1</v>
      </c>
    </row>
    <row r="54" spans="1:14" ht="12.45" hidden="1">
      <c r="A54" t="str">
        <f ca="1">IFERROR(__xludf.DUMMYFUNCTION("""COMPUTED_VALUE"""),"III-1-233")</f>
        <v>III-1-233</v>
      </c>
      <c r="B54" t="str">
        <f ca="1">IFERROR(__xludf.DUMMYFUNCTION("""COMPUTED_VALUE"""),"Клепацкий")</f>
        <v>Клепацкий</v>
      </c>
      <c r="C54" t="str">
        <f ca="1">IFERROR(__xludf.DUMMYFUNCTION("""COMPUTED_VALUE"""),"Андрей")</f>
        <v>Андрей</v>
      </c>
      <c r="D54" t="str">
        <f ca="1">IFERROR(__xludf.DUMMYFUNCTION("""COMPUTED_VALUE"""),"Гимназия 56")</f>
        <v>Гимназия 56</v>
      </c>
      <c r="E54" s="5">
        <f ca="1">IFERROR(__xludf.DUMMYFUNCTION("""COMPUTED_VALUE"""),2)</f>
        <v>2</v>
      </c>
      <c r="F54" s="5">
        <f ca="1">IFERROR(__xludf.DUMMYFUNCTION("""COMPUTED_VALUE"""),0)</f>
        <v>0</v>
      </c>
      <c r="G54" s="5">
        <f ca="1">IFERROR(__xludf.DUMMYFUNCTION("""COMPUTED_VALUE"""),3)</f>
        <v>3</v>
      </c>
      <c r="H54" s="5">
        <f ca="1">IFERROR(__xludf.DUMMYFUNCTION("""COMPUTED_VALUE"""),0)</f>
        <v>0</v>
      </c>
      <c r="I54" s="5">
        <f ca="1">IFERROR(__xludf.DUMMYFUNCTION("""COMPUTED_VALUE"""),0)</f>
        <v>0</v>
      </c>
      <c r="J54" s="5">
        <f ca="1">IFERROR(__xludf.DUMMYFUNCTION("""COMPUTED_VALUE"""),4)</f>
        <v>4</v>
      </c>
      <c r="K54" s="5">
        <f ca="1">IFERROR(__xludf.DUMMYFUNCTION("""COMPUTED_VALUE"""),4)</f>
        <v>4</v>
      </c>
      <c r="L54" s="5">
        <f ca="1">IFERROR(__xludf.DUMMYFUNCTION("""COMPUTED_VALUE"""),1)</f>
        <v>1</v>
      </c>
      <c r="M54">
        <f ca="1">IFERROR(__xludf.DUMMYFUNCTION("""COMPUTED_VALUE"""),14)</f>
        <v>14</v>
      </c>
      <c r="N54" s="8" t="str">
        <f ca="1">IFERROR(__xludf.DUMMYFUNCTION("""COMPUTED_VALUE"""),"ПО1")</f>
        <v>ПО1</v>
      </c>
    </row>
    <row r="55" spans="1:14" ht="12.45" hidden="1">
      <c r="A55" t="str">
        <f ca="1">IFERROR(__xludf.DUMMYFUNCTION("""COMPUTED_VALUE"""),"III-1-278")</f>
        <v>III-1-278</v>
      </c>
      <c r="B55" t="str">
        <f ca="1">IFERROR(__xludf.DUMMYFUNCTION("""COMPUTED_VALUE"""),"Кураков")</f>
        <v>Кураков</v>
      </c>
      <c r="C55" t="str">
        <f ca="1">IFERROR(__xludf.DUMMYFUNCTION("""COMPUTED_VALUE"""),"Константин")</f>
        <v>Константин</v>
      </c>
      <c r="D55" t="str">
        <f ca="1">IFERROR(__xludf.DUMMYFUNCTION("""COMPUTED_VALUE"""),"Школа 494")</f>
        <v>Школа 494</v>
      </c>
      <c r="E55" s="5">
        <f ca="1">IFERROR(__xludf.DUMMYFUNCTION("""COMPUTED_VALUE"""),2)</f>
        <v>2</v>
      </c>
      <c r="F55" s="5">
        <f ca="1">IFERROR(__xludf.DUMMYFUNCTION("""COMPUTED_VALUE"""),3)</f>
        <v>3</v>
      </c>
      <c r="G55" s="5">
        <f ca="1">IFERROR(__xludf.DUMMYFUNCTION("""COMPUTED_VALUE"""),3)</f>
        <v>3</v>
      </c>
      <c r="H55" s="5">
        <f ca="1">IFERROR(__xludf.DUMMYFUNCTION("""COMPUTED_VALUE"""),0)</f>
        <v>0</v>
      </c>
      <c r="I55" s="5">
        <f ca="1">IFERROR(__xludf.DUMMYFUNCTION("""COMPUTED_VALUE"""),0)</f>
        <v>0</v>
      </c>
      <c r="J55" s="5">
        <f ca="1">IFERROR(__xludf.DUMMYFUNCTION("""COMPUTED_VALUE"""),1)</f>
        <v>1</v>
      </c>
      <c r="K55" s="5">
        <f ca="1">IFERROR(__xludf.DUMMYFUNCTION("""COMPUTED_VALUE"""),4)</f>
        <v>4</v>
      </c>
      <c r="L55" s="5">
        <f ca="1">IFERROR(__xludf.DUMMYFUNCTION("""COMPUTED_VALUE"""),1)</f>
        <v>1</v>
      </c>
      <c r="M55">
        <f ca="1">IFERROR(__xludf.DUMMYFUNCTION("""COMPUTED_VALUE"""),14)</f>
        <v>14</v>
      </c>
      <c r="N55" s="8" t="str">
        <f ca="1">IFERROR(__xludf.DUMMYFUNCTION("""COMPUTED_VALUE"""),"ПО1")</f>
        <v>ПО1</v>
      </c>
    </row>
    <row r="56" spans="1:14" ht="12.45" hidden="1">
      <c r="A56" t="str">
        <f ca="1">IFERROR(__xludf.DUMMYFUNCTION("""COMPUTED_VALUE"""),"V-1-529")</f>
        <v>V-1-529</v>
      </c>
      <c r="B56" t="str">
        <f ca="1">IFERROR(__xludf.DUMMYFUNCTION("""COMPUTED_VALUE"""),"Тубольцев")</f>
        <v>Тубольцев</v>
      </c>
      <c r="C56" t="str">
        <f ca="1">IFERROR(__xludf.DUMMYFUNCTION("""COMPUTED_VALUE"""),"Василий")</f>
        <v>Василий</v>
      </c>
      <c r="D56" t="str">
        <f ca="1">IFERROR(__xludf.DUMMYFUNCTION("""COMPUTED_VALUE"""),"Гимназия 295")</f>
        <v>Гимназия 295</v>
      </c>
      <c r="E56" s="5">
        <f ca="1">IFERROR(__xludf.DUMMYFUNCTION("""COMPUTED_VALUE"""),2)</f>
        <v>2</v>
      </c>
      <c r="F56" s="5">
        <f ca="1">IFERROR(__xludf.DUMMYFUNCTION("""COMPUTED_VALUE"""),3)</f>
        <v>3</v>
      </c>
      <c r="G56" s="5">
        <f ca="1">IFERROR(__xludf.DUMMYFUNCTION("""COMPUTED_VALUE"""),3)</f>
        <v>3</v>
      </c>
      <c r="H56" s="5">
        <f ca="1">IFERROR(__xludf.DUMMYFUNCTION("""COMPUTED_VALUE"""),1)</f>
        <v>1</v>
      </c>
      <c r="I56" s="5">
        <f ca="1">IFERROR(__xludf.DUMMYFUNCTION("""COMPUTED_VALUE"""),0)</f>
        <v>0</v>
      </c>
      <c r="J56" s="5">
        <f ca="1">IFERROR(__xludf.DUMMYFUNCTION("""COMPUTED_VALUE"""),0)</f>
        <v>0</v>
      </c>
      <c r="K56" s="5">
        <f ca="1">IFERROR(__xludf.DUMMYFUNCTION("""COMPUTED_VALUE"""),4)</f>
        <v>4</v>
      </c>
      <c r="L56" s="5">
        <f ca="1">IFERROR(__xludf.DUMMYFUNCTION("""COMPUTED_VALUE"""),1)</f>
        <v>1</v>
      </c>
      <c r="M56">
        <f ca="1">IFERROR(__xludf.DUMMYFUNCTION("""COMPUTED_VALUE"""),14)</f>
        <v>14</v>
      </c>
      <c r="N56" s="8" t="str">
        <f ca="1">IFERROR(__xludf.DUMMYFUNCTION("""COMPUTED_VALUE"""),"ПО1")</f>
        <v>ПО1</v>
      </c>
    </row>
    <row r="57" spans="1:14" ht="12.45" hidden="1">
      <c r="A57" t="str">
        <f ca="1">IFERROR(__xludf.DUMMYFUNCTION("""COMPUTED_VALUE"""),"III-1-201")</f>
        <v>III-1-201</v>
      </c>
      <c r="B57" t="str">
        <f ca="1">IFERROR(__xludf.DUMMYFUNCTION("""COMPUTED_VALUE"""),"Иванов")</f>
        <v>Иванов</v>
      </c>
      <c r="C57" t="str">
        <f ca="1">IFERROR(__xludf.DUMMYFUNCTION("""COMPUTED_VALUE"""),"Артём")</f>
        <v>Артём</v>
      </c>
      <c r="D57" t="str">
        <f ca="1">IFERROR(__xludf.DUMMYFUNCTION("""COMPUTED_VALUE"""),"Лицей 378")</f>
        <v>Лицей 378</v>
      </c>
      <c r="E57" s="5">
        <f ca="1">IFERROR(__xludf.DUMMYFUNCTION("""COMPUTED_VALUE"""),2)</f>
        <v>2</v>
      </c>
      <c r="F57" s="5">
        <f ca="1">IFERROR(__xludf.DUMMYFUNCTION("""COMPUTED_VALUE"""),3)</f>
        <v>3</v>
      </c>
      <c r="G57" s="5">
        <f ca="1">IFERROR(__xludf.DUMMYFUNCTION("""COMPUTED_VALUE"""),3)</f>
        <v>3</v>
      </c>
      <c r="H57" s="5">
        <f ca="1">IFERROR(__xludf.DUMMYFUNCTION("""COMPUTED_VALUE"""),5)</f>
        <v>5</v>
      </c>
      <c r="I57" s="5"/>
      <c r="J57" s="5">
        <f ca="1">IFERROR(__xludf.DUMMYFUNCTION("""COMPUTED_VALUE"""),0)</f>
        <v>0</v>
      </c>
      <c r="K57" s="5"/>
      <c r="L57" s="5">
        <f ca="1">IFERROR(__xludf.DUMMYFUNCTION("""COMPUTED_VALUE"""),1)</f>
        <v>1</v>
      </c>
      <c r="M57">
        <f ca="1">IFERROR(__xludf.DUMMYFUNCTION("""COMPUTED_VALUE"""),14)</f>
        <v>14</v>
      </c>
      <c r="N57" s="8" t="str">
        <f ca="1">IFERROR(__xludf.DUMMYFUNCTION("""COMPUTED_VALUE"""),"ПО1")</f>
        <v>ПО1</v>
      </c>
    </row>
    <row r="58" spans="1:14" ht="12.45" hidden="1">
      <c r="A58" t="str">
        <f ca="1">IFERROR(__xludf.DUMMYFUNCTION("""COMPUTED_VALUE"""),"V-1-346")</f>
        <v>V-1-346</v>
      </c>
      <c r="B58" t="str">
        <f ca="1">IFERROR(__xludf.DUMMYFUNCTION("""COMPUTED_VALUE"""),"Мухина")</f>
        <v>Мухина</v>
      </c>
      <c r="C58" t="str">
        <f ca="1">IFERROR(__xludf.DUMMYFUNCTION("""COMPUTED_VALUE"""),"Александра")</f>
        <v>Александра</v>
      </c>
      <c r="D58" t="str">
        <f ca="1">IFERROR(__xludf.DUMMYFUNCTION("""COMPUTED_VALUE"""),"Школа 508")</f>
        <v>Школа 508</v>
      </c>
      <c r="E58" s="5">
        <f ca="1">IFERROR(__xludf.DUMMYFUNCTION("""COMPUTED_VALUE"""),2)</f>
        <v>2</v>
      </c>
      <c r="F58" s="5">
        <f ca="1">IFERROR(__xludf.DUMMYFUNCTION("""COMPUTED_VALUE"""),3)</f>
        <v>3</v>
      </c>
      <c r="G58" s="5">
        <f ca="1">IFERROR(__xludf.DUMMYFUNCTION("""COMPUTED_VALUE"""),3)</f>
        <v>3</v>
      </c>
      <c r="H58" s="5">
        <f ca="1">IFERROR(__xludf.DUMMYFUNCTION("""COMPUTED_VALUE"""),5)</f>
        <v>5</v>
      </c>
      <c r="I58" s="5">
        <f ca="1">IFERROR(__xludf.DUMMYFUNCTION("""COMPUTED_VALUE"""),0)</f>
        <v>0</v>
      </c>
      <c r="J58" s="5"/>
      <c r="K58" s="5"/>
      <c r="L58" s="5">
        <f ca="1">IFERROR(__xludf.DUMMYFUNCTION("""COMPUTED_VALUE"""),1)</f>
        <v>1</v>
      </c>
      <c r="M58">
        <f ca="1">IFERROR(__xludf.DUMMYFUNCTION("""COMPUTED_VALUE"""),14)</f>
        <v>14</v>
      </c>
      <c r="N58" s="8" t="str">
        <f ca="1">IFERROR(__xludf.DUMMYFUNCTION("""COMPUTED_VALUE"""),"ПО1")</f>
        <v>ПО1</v>
      </c>
    </row>
    <row r="59" spans="1:14" ht="12.45" hidden="1">
      <c r="A59" t="str">
        <f ca="1">IFERROR(__xludf.DUMMYFUNCTION("""COMPUTED_VALUE"""),"III-1-195")</f>
        <v>III-1-195</v>
      </c>
      <c r="B59" t="str">
        <f ca="1">IFERROR(__xludf.DUMMYFUNCTION("""COMPUTED_VALUE"""),"Зубарева")</f>
        <v>Зубарева</v>
      </c>
      <c r="C59" t="str">
        <f ca="1">IFERROR(__xludf.DUMMYFUNCTION("""COMPUTED_VALUE"""),"Наталья")</f>
        <v>Наталья</v>
      </c>
      <c r="D59" t="str">
        <f ca="1">IFERROR(__xludf.DUMMYFUNCTION("""COMPUTED_VALUE"""),"Школа 4 Кусто")</f>
        <v>Школа 4 Кусто</v>
      </c>
      <c r="E59" s="5">
        <f ca="1">IFERROR(__xludf.DUMMYFUNCTION("""COMPUTED_VALUE"""),2)</f>
        <v>2</v>
      </c>
      <c r="F59" s="5">
        <f ca="1">IFERROR(__xludf.DUMMYFUNCTION("""COMPUTED_VALUE"""),3)</f>
        <v>3</v>
      </c>
      <c r="G59" s="5">
        <f ca="1">IFERROR(__xludf.DUMMYFUNCTION("""COMPUTED_VALUE"""),3)</f>
        <v>3</v>
      </c>
      <c r="H59" s="5">
        <f ca="1">IFERROR(__xludf.DUMMYFUNCTION("""COMPUTED_VALUE"""),1)</f>
        <v>1</v>
      </c>
      <c r="I59" s="5">
        <f ca="1">IFERROR(__xludf.DUMMYFUNCTION("""COMPUTED_VALUE"""),0)</f>
        <v>0</v>
      </c>
      <c r="J59" s="5">
        <f ca="1">IFERROR(__xludf.DUMMYFUNCTION("""COMPUTED_VALUE"""),0)</f>
        <v>0</v>
      </c>
      <c r="K59" s="5">
        <f ca="1">IFERROR(__xludf.DUMMYFUNCTION("""COMPUTED_VALUE"""),4)</f>
        <v>4</v>
      </c>
      <c r="L59" s="5">
        <f ca="1">IFERROR(__xludf.DUMMYFUNCTION("""COMPUTED_VALUE"""),1)</f>
        <v>1</v>
      </c>
      <c r="M59">
        <f ca="1">IFERROR(__xludf.DUMMYFUNCTION("""COMPUTED_VALUE"""),14)</f>
        <v>14</v>
      </c>
      <c r="N59" s="8" t="str">
        <f ca="1">IFERROR(__xludf.DUMMYFUNCTION("""COMPUTED_VALUE"""),"ПО1")</f>
        <v>ПО1</v>
      </c>
    </row>
    <row r="60" spans="1:14" ht="12.45" hidden="1">
      <c r="A60" t="str">
        <f ca="1">IFERROR(__xludf.DUMMYFUNCTION("""COMPUTED_VALUE"""),"V-1-483")</f>
        <v>V-1-483</v>
      </c>
      <c r="B60" t="str">
        <f ca="1">IFERROR(__xludf.DUMMYFUNCTION("""COMPUTED_VALUE"""),"Соловьев")</f>
        <v>Соловьев</v>
      </c>
      <c r="C60" t="str">
        <f ca="1">IFERROR(__xludf.DUMMYFUNCTION("""COMPUTED_VALUE"""),"Андрей")</f>
        <v>Андрей</v>
      </c>
      <c r="D60" t="str">
        <f ca="1">IFERROR(__xludf.DUMMYFUNCTION("""COMPUTED_VALUE"""),"Лицей 623")</f>
        <v>Лицей 623</v>
      </c>
      <c r="E60" s="5">
        <f ca="1">IFERROR(__xludf.DUMMYFUNCTION("""COMPUTED_VALUE"""),2)</f>
        <v>2</v>
      </c>
      <c r="F60" s="5">
        <f ca="1">IFERROR(__xludf.DUMMYFUNCTION("""COMPUTED_VALUE"""),3)</f>
        <v>3</v>
      </c>
      <c r="G60" s="5">
        <f ca="1">IFERROR(__xludf.DUMMYFUNCTION("""COMPUTED_VALUE"""),3)</f>
        <v>3</v>
      </c>
      <c r="H60" s="5">
        <f ca="1">IFERROR(__xludf.DUMMYFUNCTION("""COMPUTED_VALUE"""),0)</f>
        <v>0</v>
      </c>
      <c r="I60" s="5">
        <f ca="1">IFERROR(__xludf.DUMMYFUNCTION("""COMPUTED_VALUE"""),2)</f>
        <v>2</v>
      </c>
      <c r="J60" s="5">
        <f ca="1">IFERROR(__xludf.DUMMYFUNCTION("""COMPUTED_VALUE"""),0)</f>
        <v>0</v>
      </c>
      <c r="K60" s="5">
        <f ca="1">IFERROR(__xludf.DUMMYFUNCTION("""COMPUTED_VALUE"""),4)</f>
        <v>4</v>
      </c>
      <c r="L60" s="5">
        <f ca="1">IFERROR(__xludf.DUMMYFUNCTION("""COMPUTED_VALUE"""),0)</f>
        <v>0</v>
      </c>
      <c r="M60">
        <f ca="1">IFERROR(__xludf.DUMMYFUNCTION("""COMPUTED_VALUE"""),14)</f>
        <v>14</v>
      </c>
      <c r="N60" s="8" t="str">
        <f ca="1">IFERROR(__xludf.DUMMYFUNCTION("""COMPUTED_VALUE"""),"ПО1")</f>
        <v>ПО1</v>
      </c>
    </row>
    <row r="61" spans="1:14" ht="12.45" hidden="1">
      <c r="A61" t="str">
        <f ca="1">IFERROR(__xludf.DUMMYFUNCTION("""COMPUTED_VALUE"""),"III-1-234")</f>
        <v>III-1-234</v>
      </c>
      <c r="B61" t="str">
        <f ca="1">IFERROR(__xludf.DUMMYFUNCTION("""COMPUTED_VALUE"""),"Климентьев")</f>
        <v>Климентьев</v>
      </c>
      <c r="C61" t="str">
        <f ca="1">IFERROR(__xludf.DUMMYFUNCTION("""COMPUTED_VALUE"""),"Кирилл")</f>
        <v>Кирилл</v>
      </c>
      <c r="D61" t="str">
        <f ca="1">IFERROR(__xludf.DUMMYFUNCTION("""COMPUTED_VALUE"""),"Школа 630")</f>
        <v>Школа 630</v>
      </c>
      <c r="E61" s="5">
        <f ca="1">IFERROR(__xludf.DUMMYFUNCTION("""COMPUTED_VALUE"""),2)</f>
        <v>2</v>
      </c>
      <c r="F61" s="5">
        <f ca="1">IFERROR(__xludf.DUMMYFUNCTION("""COMPUTED_VALUE"""),3)</f>
        <v>3</v>
      </c>
      <c r="G61" s="5">
        <f ca="1">IFERROR(__xludf.DUMMYFUNCTION("""COMPUTED_VALUE"""),3)</f>
        <v>3</v>
      </c>
      <c r="H61" s="5">
        <f ca="1">IFERROR(__xludf.DUMMYFUNCTION("""COMPUTED_VALUE"""),1)</f>
        <v>1</v>
      </c>
      <c r="I61" s="5">
        <f ca="1">IFERROR(__xludf.DUMMYFUNCTION("""COMPUTED_VALUE"""),0)</f>
        <v>0</v>
      </c>
      <c r="J61" s="5">
        <f ca="1">IFERROR(__xludf.DUMMYFUNCTION("""COMPUTED_VALUE"""),4)</f>
        <v>4</v>
      </c>
      <c r="K61" s="5">
        <f ca="1">IFERROR(__xludf.DUMMYFUNCTION("""COMPUTED_VALUE"""),0)</f>
        <v>0</v>
      </c>
      <c r="L61" s="5">
        <f ca="1">IFERROR(__xludf.DUMMYFUNCTION("""COMPUTED_VALUE"""),1)</f>
        <v>1</v>
      </c>
      <c r="M61">
        <f ca="1">IFERROR(__xludf.DUMMYFUNCTION("""COMPUTED_VALUE"""),14)</f>
        <v>14</v>
      </c>
      <c r="N61" s="8" t="str">
        <f ca="1">IFERROR(__xludf.DUMMYFUNCTION("""COMPUTED_VALUE"""),"ПО1")</f>
        <v>ПО1</v>
      </c>
    </row>
    <row r="62" spans="1:14" ht="12.45" hidden="1">
      <c r="A62" t="str">
        <f ca="1">IFERROR(__xludf.DUMMYFUNCTION("""COMPUTED_VALUE"""),"III-1-170")</f>
        <v>III-1-170</v>
      </c>
      <c r="B62" t="str">
        <f ca="1">IFERROR(__xludf.DUMMYFUNCTION("""COMPUTED_VALUE"""),"Дубровская")</f>
        <v>Дубровская</v>
      </c>
      <c r="C62" t="str">
        <f ca="1">IFERROR(__xludf.DUMMYFUNCTION("""COMPUTED_VALUE"""),"Кира")</f>
        <v>Кира</v>
      </c>
      <c r="D62" t="str">
        <f ca="1">IFERROR(__xludf.DUMMYFUNCTION("""COMPUTED_VALUE"""),"Школа 494")</f>
        <v>Школа 494</v>
      </c>
      <c r="E62" s="5">
        <f ca="1">IFERROR(__xludf.DUMMYFUNCTION("""COMPUTED_VALUE"""),2)</f>
        <v>2</v>
      </c>
      <c r="F62" s="5"/>
      <c r="G62" s="5">
        <f ca="1">IFERROR(__xludf.DUMMYFUNCTION("""COMPUTED_VALUE"""),3)</f>
        <v>3</v>
      </c>
      <c r="H62" s="5">
        <f ca="1">IFERROR(__xludf.DUMMYFUNCTION("""COMPUTED_VALUE"""),0)</f>
        <v>0</v>
      </c>
      <c r="I62" s="5">
        <f ca="1">IFERROR(__xludf.DUMMYFUNCTION("""COMPUTED_VALUE"""),0)</f>
        <v>0</v>
      </c>
      <c r="J62" s="5">
        <f ca="1">IFERROR(__xludf.DUMMYFUNCTION("""COMPUTED_VALUE"""),4)</f>
        <v>4</v>
      </c>
      <c r="K62" s="5">
        <f ca="1">IFERROR(__xludf.DUMMYFUNCTION("""COMPUTED_VALUE"""),4)</f>
        <v>4</v>
      </c>
      <c r="L62" s="5">
        <f ca="1">IFERROR(__xludf.DUMMYFUNCTION("""COMPUTED_VALUE"""),1)</f>
        <v>1</v>
      </c>
      <c r="M62">
        <f ca="1">IFERROR(__xludf.DUMMYFUNCTION("""COMPUTED_VALUE"""),14)</f>
        <v>14</v>
      </c>
      <c r="N62" s="8" t="str">
        <f ca="1">IFERROR(__xludf.DUMMYFUNCTION("""COMPUTED_VALUE"""),"ПО1")</f>
        <v>ПО1</v>
      </c>
    </row>
    <row r="63" spans="1:14" ht="12.45" hidden="1">
      <c r="A63" t="str">
        <f ca="1">IFERROR(__xludf.DUMMYFUNCTION("""COMPUTED_VALUE"""),"III-1-225")</f>
        <v>III-1-225</v>
      </c>
      <c r="B63" t="str">
        <f ca="1">IFERROR(__xludf.DUMMYFUNCTION("""COMPUTED_VALUE"""),"Квашнин")</f>
        <v>Квашнин</v>
      </c>
      <c r="C63" t="str">
        <f ca="1">IFERROR(__xludf.DUMMYFUNCTION("""COMPUTED_VALUE"""),"Тимофей")</f>
        <v>Тимофей</v>
      </c>
      <c r="D63" t="str">
        <f ca="1">IFERROR(__xludf.DUMMYFUNCTION("""COMPUTED_VALUE"""),"Лицей 344")</f>
        <v>Лицей 344</v>
      </c>
      <c r="E63" s="5">
        <f ca="1">IFERROR(__xludf.DUMMYFUNCTION("""COMPUTED_VALUE"""),1)</f>
        <v>1</v>
      </c>
      <c r="F63" s="5">
        <f ca="1">IFERROR(__xludf.DUMMYFUNCTION("""COMPUTED_VALUE"""),0)</f>
        <v>0</v>
      </c>
      <c r="G63" s="5">
        <f ca="1">IFERROR(__xludf.DUMMYFUNCTION("""COMPUTED_VALUE"""),3)</f>
        <v>3</v>
      </c>
      <c r="H63" s="5">
        <f ca="1">IFERROR(__xludf.DUMMYFUNCTION("""COMPUTED_VALUE"""),0)</f>
        <v>0</v>
      </c>
      <c r="I63" s="5">
        <f ca="1">IFERROR(__xludf.DUMMYFUNCTION("""COMPUTED_VALUE"""),0)</f>
        <v>0</v>
      </c>
      <c r="J63" s="5">
        <f ca="1">IFERROR(__xludf.DUMMYFUNCTION("""COMPUTED_VALUE"""),4)</f>
        <v>4</v>
      </c>
      <c r="K63" s="5">
        <f ca="1">IFERROR(__xludf.DUMMYFUNCTION("""COMPUTED_VALUE"""),4)</f>
        <v>4</v>
      </c>
      <c r="L63" s="5">
        <f ca="1">IFERROR(__xludf.DUMMYFUNCTION("""COMPUTED_VALUE"""),1)</f>
        <v>1</v>
      </c>
      <c r="M63">
        <f ca="1">IFERROR(__xludf.DUMMYFUNCTION("""COMPUTED_VALUE"""),13)</f>
        <v>13</v>
      </c>
      <c r="N63" s="8" t="str">
        <f ca="1">IFERROR(__xludf.DUMMYFUNCTION("""COMPUTED_VALUE"""),"ПО1")</f>
        <v>ПО1</v>
      </c>
    </row>
    <row r="64" spans="1:14" ht="12.45" hidden="1">
      <c r="A64" t="str">
        <f ca="1">IFERROR(__xludf.DUMMYFUNCTION("""COMPUTED_VALUE"""),"III-1-305")</f>
        <v>III-1-305</v>
      </c>
      <c r="B64" t="str">
        <f ca="1">IFERROR(__xludf.DUMMYFUNCTION("""COMPUTED_VALUE"""),"Макаркин")</f>
        <v>Макаркин</v>
      </c>
      <c r="C64" t="str">
        <f ca="1">IFERROR(__xludf.DUMMYFUNCTION("""COMPUTED_VALUE"""),"Тимофей")</f>
        <v>Тимофей</v>
      </c>
      <c r="D64" t="str">
        <f ca="1">IFERROR(__xludf.DUMMYFUNCTION("""COMPUTED_VALUE"""),"Школа 339")</f>
        <v>Школа 339</v>
      </c>
      <c r="E64" s="5">
        <f ca="1">IFERROR(__xludf.DUMMYFUNCTION("""COMPUTED_VALUE"""),2)</f>
        <v>2</v>
      </c>
      <c r="F64" s="5">
        <f ca="1">IFERROR(__xludf.DUMMYFUNCTION("""COMPUTED_VALUE"""),3)</f>
        <v>3</v>
      </c>
      <c r="G64" s="5">
        <f ca="1">IFERROR(__xludf.DUMMYFUNCTION("""COMPUTED_VALUE"""),3)</f>
        <v>3</v>
      </c>
      <c r="H64" s="5">
        <f ca="1">IFERROR(__xludf.DUMMYFUNCTION("""COMPUTED_VALUE"""),0)</f>
        <v>0</v>
      </c>
      <c r="I64" s="5">
        <f ca="1">IFERROR(__xludf.DUMMYFUNCTION("""COMPUTED_VALUE"""),0)</f>
        <v>0</v>
      </c>
      <c r="J64" s="5">
        <f ca="1">IFERROR(__xludf.DUMMYFUNCTION("""COMPUTED_VALUE"""),0)</f>
        <v>0</v>
      </c>
      <c r="K64" s="5">
        <f ca="1">IFERROR(__xludf.DUMMYFUNCTION("""COMPUTED_VALUE"""),4)</f>
        <v>4</v>
      </c>
      <c r="L64" s="5">
        <f ca="1">IFERROR(__xludf.DUMMYFUNCTION("""COMPUTED_VALUE"""),1)</f>
        <v>1</v>
      </c>
      <c r="M64">
        <f ca="1">IFERROR(__xludf.DUMMYFUNCTION("""COMPUTED_VALUE"""),13)</f>
        <v>13</v>
      </c>
      <c r="N64" s="8" t="str">
        <f ca="1">IFERROR(__xludf.DUMMYFUNCTION("""COMPUTED_VALUE"""),"ПО1")</f>
        <v>ПО1</v>
      </c>
    </row>
    <row r="65" spans="1:14" ht="12.45" hidden="1">
      <c r="A65" t="str">
        <f ca="1">IFERROR(__xludf.DUMMYFUNCTION("""COMPUTED_VALUE"""),"III-1-211")</f>
        <v>III-1-211</v>
      </c>
      <c r="B65" t="str">
        <f ca="1">IFERROR(__xludf.DUMMYFUNCTION("""COMPUTED_VALUE"""),"Ионцев")</f>
        <v>Ионцев</v>
      </c>
      <c r="C65" t="str">
        <f ca="1">IFERROR(__xludf.DUMMYFUNCTION("""COMPUTED_VALUE"""),"Владимир")</f>
        <v>Владимир</v>
      </c>
      <c r="D65" t="str">
        <f ca="1">IFERROR(__xludf.DUMMYFUNCTION("""COMPUTED_VALUE"""),"Школа 328")</f>
        <v>Школа 328</v>
      </c>
      <c r="E65" s="5">
        <f ca="1">IFERROR(__xludf.DUMMYFUNCTION("""COMPUTED_VALUE"""),2)</f>
        <v>2</v>
      </c>
      <c r="F65" s="5">
        <f ca="1">IFERROR(__xludf.DUMMYFUNCTION("""COMPUTED_VALUE"""),3)</f>
        <v>3</v>
      </c>
      <c r="G65" s="5">
        <f ca="1">IFERROR(__xludf.DUMMYFUNCTION("""COMPUTED_VALUE"""),3)</f>
        <v>3</v>
      </c>
      <c r="H65" s="5">
        <f ca="1">IFERROR(__xludf.DUMMYFUNCTION("""COMPUTED_VALUE"""),0)</f>
        <v>0</v>
      </c>
      <c r="I65" s="5">
        <f ca="1">IFERROR(__xludf.DUMMYFUNCTION("""COMPUTED_VALUE"""),0)</f>
        <v>0</v>
      </c>
      <c r="J65" s="5">
        <f ca="1">IFERROR(__xludf.DUMMYFUNCTION("""COMPUTED_VALUE"""),4)</f>
        <v>4</v>
      </c>
      <c r="K65" s="5">
        <f ca="1">IFERROR(__xludf.DUMMYFUNCTION("""COMPUTED_VALUE"""),0)</f>
        <v>0</v>
      </c>
      <c r="L65" s="5">
        <f ca="1">IFERROR(__xludf.DUMMYFUNCTION("""COMPUTED_VALUE"""),1)</f>
        <v>1</v>
      </c>
      <c r="M65">
        <f ca="1">IFERROR(__xludf.DUMMYFUNCTION("""COMPUTED_VALUE"""),13)</f>
        <v>13</v>
      </c>
      <c r="N65" s="8" t="str">
        <f ca="1">IFERROR(__xludf.DUMMYFUNCTION("""COMPUTED_VALUE"""),"ПО1")</f>
        <v>ПО1</v>
      </c>
    </row>
    <row r="66" spans="1:14" ht="12.45" hidden="1">
      <c r="A66" t="str">
        <f ca="1">IFERROR(__xludf.DUMMYFUNCTION("""COMPUTED_VALUE"""),"III-1-028")</f>
        <v>III-1-028</v>
      </c>
      <c r="B66" t="str">
        <f ca="1">IFERROR(__xludf.DUMMYFUNCTION("""COMPUTED_VALUE"""),"Арутюнов")</f>
        <v>Арутюнов</v>
      </c>
      <c r="C66" t="str">
        <f ca="1">IFERROR(__xludf.DUMMYFUNCTION("""COMPUTED_VALUE"""),"Артём")</f>
        <v>Артём</v>
      </c>
      <c r="D66" t="str">
        <f ca="1">IFERROR(__xludf.DUMMYFUNCTION("""COMPUTED_VALUE"""),"Школа 45")</f>
        <v>Школа 45</v>
      </c>
      <c r="E66" s="5">
        <f ca="1">IFERROR(__xludf.DUMMYFUNCTION("""COMPUTED_VALUE"""),2)</f>
        <v>2</v>
      </c>
      <c r="F66" s="5">
        <f ca="1">IFERROR(__xludf.DUMMYFUNCTION("""COMPUTED_VALUE"""),3)</f>
        <v>3</v>
      </c>
      <c r="G66" s="5">
        <f ca="1">IFERROR(__xludf.DUMMYFUNCTION("""COMPUTED_VALUE"""),3)</f>
        <v>3</v>
      </c>
      <c r="H66" s="5">
        <f ca="1">IFERROR(__xludf.DUMMYFUNCTION("""COMPUTED_VALUE"""),1)</f>
        <v>1</v>
      </c>
      <c r="I66" s="5">
        <f ca="1">IFERROR(__xludf.DUMMYFUNCTION("""COMPUTED_VALUE"""),0)</f>
        <v>0</v>
      </c>
      <c r="J66" s="5">
        <f ca="1">IFERROR(__xludf.DUMMYFUNCTION("""COMPUTED_VALUE"""),4)</f>
        <v>4</v>
      </c>
      <c r="K66" s="5">
        <f ca="1">IFERROR(__xludf.DUMMYFUNCTION("""COMPUTED_VALUE"""),0)</f>
        <v>0</v>
      </c>
      <c r="L66" s="5">
        <f ca="1">IFERROR(__xludf.DUMMYFUNCTION("""COMPUTED_VALUE"""),0)</f>
        <v>0</v>
      </c>
      <c r="M66">
        <f ca="1">IFERROR(__xludf.DUMMYFUNCTION("""COMPUTED_VALUE"""),13)</f>
        <v>13</v>
      </c>
      <c r="N66" s="8" t="str">
        <f ca="1">IFERROR(__xludf.DUMMYFUNCTION("""COMPUTED_VALUE"""),"ПО1")</f>
        <v>ПО1</v>
      </c>
    </row>
    <row r="67" spans="1:14" ht="12.45" hidden="1">
      <c r="A67" t="str">
        <f ca="1">IFERROR(__xludf.DUMMYFUNCTION("""COMPUTED_VALUE"""),"V-1-318")</f>
        <v>V-1-318</v>
      </c>
      <c r="B67" t="str">
        <f ca="1">IFERROR(__xludf.DUMMYFUNCTION("""COMPUTED_VALUE"""),"Махмудилаева")</f>
        <v>Махмудилаева</v>
      </c>
      <c r="C67" t="str">
        <f ca="1">IFERROR(__xludf.DUMMYFUNCTION("""COMPUTED_VALUE"""),"Мадина")</f>
        <v>Мадина</v>
      </c>
      <c r="D67" t="str">
        <f ca="1">IFERROR(__xludf.DUMMYFUNCTION("""COMPUTED_VALUE"""),"Гимназия 56")</f>
        <v>Гимназия 56</v>
      </c>
      <c r="E67" s="5">
        <f ca="1">IFERROR(__xludf.DUMMYFUNCTION("""COMPUTED_VALUE"""),2)</f>
        <v>2</v>
      </c>
      <c r="F67" s="5">
        <f ca="1">IFERROR(__xludf.DUMMYFUNCTION("""COMPUTED_VALUE"""),3)</f>
        <v>3</v>
      </c>
      <c r="G67" s="5">
        <f ca="1">IFERROR(__xludf.DUMMYFUNCTION("""COMPUTED_VALUE"""),3)</f>
        <v>3</v>
      </c>
      <c r="H67" s="5">
        <f ca="1">IFERROR(__xludf.DUMMYFUNCTION("""COMPUTED_VALUE"""),0)</f>
        <v>0</v>
      </c>
      <c r="I67" s="5">
        <f ca="1">IFERROR(__xludf.DUMMYFUNCTION("""COMPUTED_VALUE"""),0)</f>
        <v>0</v>
      </c>
      <c r="J67" s="5">
        <f ca="1">IFERROR(__xludf.DUMMYFUNCTION("""COMPUTED_VALUE"""),4)</f>
        <v>4</v>
      </c>
      <c r="K67" s="5">
        <f ca="1">IFERROR(__xludf.DUMMYFUNCTION("""COMPUTED_VALUE"""),0)</f>
        <v>0</v>
      </c>
      <c r="L67" s="5">
        <f ca="1">IFERROR(__xludf.DUMMYFUNCTION("""COMPUTED_VALUE"""),1)</f>
        <v>1</v>
      </c>
      <c r="M67">
        <f ca="1">IFERROR(__xludf.DUMMYFUNCTION("""COMPUTED_VALUE"""),13)</f>
        <v>13</v>
      </c>
      <c r="N67" s="8" t="str">
        <f ca="1">IFERROR(__xludf.DUMMYFUNCTION("""COMPUTED_VALUE"""),"ПО1")</f>
        <v>ПО1</v>
      </c>
    </row>
    <row r="68" spans="1:14" ht="12.45" hidden="1">
      <c r="A68" t="str">
        <f ca="1">IFERROR(__xludf.DUMMYFUNCTION("""COMPUTED_VALUE"""),"III-1-236")</f>
        <v>III-1-236</v>
      </c>
      <c r="B68" t="str">
        <f ca="1">IFERROR(__xludf.DUMMYFUNCTION("""COMPUTED_VALUE"""),"Клусова")</f>
        <v>Клусова</v>
      </c>
      <c r="C68" t="str">
        <f ca="1">IFERROR(__xludf.DUMMYFUNCTION("""COMPUTED_VALUE"""),"Милана")</f>
        <v>Милана</v>
      </c>
      <c r="D68" t="str">
        <f ca="1">IFERROR(__xludf.DUMMYFUNCTION("""COMPUTED_VALUE"""),"Гимназия 524")</f>
        <v>Гимназия 524</v>
      </c>
      <c r="E68" s="5">
        <f ca="1">IFERROR(__xludf.DUMMYFUNCTION("""COMPUTED_VALUE"""),1)</f>
        <v>1</v>
      </c>
      <c r="F68" s="5">
        <f ca="1">IFERROR(__xludf.DUMMYFUNCTION("""COMPUTED_VALUE"""),0)</f>
        <v>0</v>
      </c>
      <c r="G68" s="5">
        <f ca="1">IFERROR(__xludf.DUMMYFUNCTION("""COMPUTED_VALUE"""),3)</f>
        <v>3</v>
      </c>
      <c r="H68" s="5">
        <f ca="1">IFERROR(__xludf.DUMMYFUNCTION("""COMPUTED_VALUE"""),0)</f>
        <v>0</v>
      </c>
      <c r="I68" s="5">
        <f ca="1">IFERROR(__xludf.DUMMYFUNCTION("""COMPUTED_VALUE"""),0)</f>
        <v>0</v>
      </c>
      <c r="J68" s="5">
        <f ca="1">IFERROR(__xludf.DUMMYFUNCTION("""COMPUTED_VALUE"""),4)</f>
        <v>4</v>
      </c>
      <c r="K68" s="5">
        <f ca="1">IFERROR(__xludf.DUMMYFUNCTION("""COMPUTED_VALUE"""),4)</f>
        <v>4</v>
      </c>
      <c r="L68" s="5">
        <f ca="1">IFERROR(__xludf.DUMMYFUNCTION("""COMPUTED_VALUE"""),1)</f>
        <v>1</v>
      </c>
      <c r="M68">
        <f ca="1">IFERROR(__xludf.DUMMYFUNCTION("""COMPUTED_VALUE"""),13)</f>
        <v>13</v>
      </c>
      <c r="N68" s="8" t="str">
        <f ca="1">IFERROR(__xludf.DUMMYFUNCTION("""COMPUTED_VALUE"""),"ПО1")</f>
        <v>ПО1</v>
      </c>
    </row>
    <row r="69" spans="1:14" ht="12.45" hidden="1">
      <c r="A69" t="str">
        <f ca="1">IFERROR(__xludf.DUMMYFUNCTION("""COMPUTED_VALUE"""),"III-1-059")</f>
        <v>III-1-059</v>
      </c>
      <c r="B69" t="str">
        <f ca="1">IFERROR(__xludf.DUMMYFUNCTION("""COMPUTED_VALUE"""),"Беркун")</f>
        <v>Беркун</v>
      </c>
      <c r="C69" t="str">
        <f ca="1">IFERROR(__xludf.DUMMYFUNCTION("""COMPUTED_VALUE"""),"Константин")</f>
        <v>Константин</v>
      </c>
      <c r="D69" t="str">
        <f ca="1">IFERROR(__xludf.DUMMYFUNCTION("""COMPUTED_VALUE"""),"Школа 630")</f>
        <v>Школа 630</v>
      </c>
      <c r="E69" s="5">
        <f ca="1">IFERROR(__xludf.DUMMYFUNCTION("""COMPUTED_VALUE"""),2)</f>
        <v>2</v>
      </c>
      <c r="F69" s="5">
        <f ca="1">IFERROR(__xludf.DUMMYFUNCTION("""COMPUTED_VALUE"""),3)</f>
        <v>3</v>
      </c>
      <c r="G69" s="5">
        <f ca="1">IFERROR(__xludf.DUMMYFUNCTION("""COMPUTED_VALUE"""),3)</f>
        <v>3</v>
      </c>
      <c r="H69" s="5">
        <f ca="1">IFERROR(__xludf.DUMMYFUNCTION("""COMPUTED_VALUE"""),0)</f>
        <v>0</v>
      </c>
      <c r="I69" s="5">
        <f ca="1">IFERROR(__xludf.DUMMYFUNCTION("""COMPUTED_VALUE"""),0)</f>
        <v>0</v>
      </c>
      <c r="J69" s="5">
        <f ca="1">IFERROR(__xludf.DUMMYFUNCTION("""COMPUTED_VALUE"""),0)</f>
        <v>0</v>
      </c>
      <c r="K69" s="5">
        <f ca="1">IFERROR(__xludf.DUMMYFUNCTION("""COMPUTED_VALUE"""),4)</f>
        <v>4</v>
      </c>
      <c r="L69" s="5">
        <f ca="1">IFERROR(__xludf.DUMMYFUNCTION("""COMPUTED_VALUE"""),1)</f>
        <v>1</v>
      </c>
      <c r="M69">
        <f ca="1">IFERROR(__xludf.DUMMYFUNCTION("""COMPUTED_VALUE"""),13)</f>
        <v>13</v>
      </c>
      <c r="N69" s="8" t="str">
        <f ca="1">IFERROR(__xludf.DUMMYFUNCTION("""COMPUTED_VALUE"""),"ПО1")</f>
        <v>ПО1</v>
      </c>
    </row>
    <row r="70" spans="1:14" ht="12.45" hidden="1">
      <c r="A70" t="str">
        <f ca="1">IFERROR(__xludf.DUMMYFUNCTION("""COMPUTED_VALUE"""),"V-1-353")</f>
        <v>V-1-353</v>
      </c>
      <c r="B70" t="str">
        <f ca="1">IFERROR(__xludf.DUMMYFUNCTION("""COMPUTED_VALUE"""),"Наумов")</f>
        <v>Наумов</v>
      </c>
      <c r="C70" t="str">
        <f ca="1">IFERROR(__xludf.DUMMYFUNCTION("""COMPUTED_VALUE"""),"Иван")</f>
        <v>Иван</v>
      </c>
      <c r="D70" t="str">
        <f ca="1">IFERROR(__xludf.DUMMYFUNCTION("""COMPUTED_VALUE"""),"Гимназия 556")</f>
        <v>Гимназия 556</v>
      </c>
      <c r="E70" s="5">
        <f ca="1">IFERROR(__xludf.DUMMYFUNCTION("""COMPUTED_VALUE"""),0)</f>
        <v>0</v>
      </c>
      <c r="F70" s="5">
        <f ca="1">IFERROR(__xludf.DUMMYFUNCTION("""COMPUTED_VALUE"""),0)</f>
        <v>0</v>
      </c>
      <c r="G70" s="5">
        <f ca="1">IFERROR(__xludf.DUMMYFUNCTION("""COMPUTED_VALUE"""),3)</f>
        <v>3</v>
      </c>
      <c r="H70" s="5">
        <f ca="1">IFERROR(__xludf.DUMMYFUNCTION("""COMPUTED_VALUE"""),1)</f>
        <v>1</v>
      </c>
      <c r="I70" s="5">
        <f ca="1">IFERROR(__xludf.DUMMYFUNCTION("""COMPUTED_VALUE"""),0)</f>
        <v>0</v>
      </c>
      <c r="J70" s="5">
        <f ca="1">IFERROR(__xludf.DUMMYFUNCTION("""COMPUTED_VALUE"""),4)</f>
        <v>4</v>
      </c>
      <c r="K70" s="5">
        <f ca="1">IFERROR(__xludf.DUMMYFUNCTION("""COMPUTED_VALUE"""),4)</f>
        <v>4</v>
      </c>
      <c r="L70" s="5">
        <f ca="1">IFERROR(__xludf.DUMMYFUNCTION("""COMPUTED_VALUE"""),1)</f>
        <v>1</v>
      </c>
      <c r="M70">
        <f ca="1">IFERROR(__xludf.DUMMYFUNCTION("""COMPUTED_VALUE"""),13)</f>
        <v>13</v>
      </c>
      <c r="N70" s="8" t="str">
        <f ca="1">IFERROR(__xludf.DUMMYFUNCTION("""COMPUTED_VALUE"""),"ПО1")</f>
        <v>ПО1</v>
      </c>
    </row>
    <row r="71" spans="1:14" ht="12.45" hidden="1">
      <c r="A71" t="str">
        <f ca="1">IFERROR(__xludf.DUMMYFUNCTION("""COMPUTED_VALUE"""),"III-1-276")</f>
        <v>III-1-276</v>
      </c>
      <c r="B71" t="str">
        <f ca="1">IFERROR(__xludf.DUMMYFUNCTION("""COMPUTED_VALUE"""),"Кузнецова")</f>
        <v>Кузнецова</v>
      </c>
      <c r="C71" t="str">
        <f ca="1">IFERROR(__xludf.DUMMYFUNCTION("""COMPUTED_VALUE"""),"Лада")</f>
        <v>Лада</v>
      </c>
      <c r="D71" t="str">
        <f ca="1">IFERROR(__xludf.DUMMYFUNCTION("""COMPUTED_VALUE"""),"Школа 106")</f>
        <v>Школа 106</v>
      </c>
      <c r="E71" s="5">
        <f ca="1">IFERROR(__xludf.DUMMYFUNCTION("""COMPUTED_VALUE"""),2)</f>
        <v>2</v>
      </c>
      <c r="F71" s="5">
        <f ca="1">IFERROR(__xludf.DUMMYFUNCTION("""COMPUTED_VALUE"""),3)</f>
        <v>3</v>
      </c>
      <c r="G71" s="5">
        <f ca="1">IFERROR(__xludf.DUMMYFUNCTION("""COMPUTED_VALUE"""),3)</f>
        <v>3</v>
      </c>
      <c r="H71" s="5">
        <f ca="1">IFERROR(__xludf.DUMMYFUNCTION("""COMPUTED_VALUE"""),1)</f>
        <v>1</v>
      </c>
      <c r="I71" s="5">
        <f ca="1">IFERROR(__xludf.DUMMYFUNCTION("""COMPUTED_VALUE"""),0)</f>
        <v>0</v>
      </c>
      <c r="J71" s="5">
        <f ca="1">IFERROR(__xludf.DUMMYFUNCTION("""COMPUTED_VALUE"""),4)</f>
        <v>4</v>
      </c>
      <c r="K71" s="5">
        <f ca="1">IFERROR(__xludf.DUMMYFUNCTION("""COMPUTED_VALUE"""),0)</f>
        <v>0</v>
      </c>
      <c r="L71" s="5">
        <f ca="1">IFERROR(__xludf.DUMMYFUNCTION("""COMPUTED_VALUE"""),0)</f>
        <v>0</v>
      </c>
      <c r="M71">
        <f ca="1">IFERROR(__xludf.DUMMYFUNCTION("""COMPUTED_VALUE"""),13)</f>
        <v>13</v>
      </c>
      <c r="N71" s="8" t="str">
        <f ca="1">IFERROR(__xludf.DUMMYFUNCTION("""COMPUTED_VALUE"""),"ПО1")</f>
        <v>ПО1</v>
      </c>
    </row>
    <row r="72" spans="1:14" ht="12.45" hidden="1">
      <c r="A72" t="str">
        <f ca="1">IFERROR(__xludf.DUMMYFUNCTION("""COMPUTED_VALUE"""),"V-1-366")</f>
        <v>V-1-366</v>
      </c>
      <c r="B72" t="str">
        <f ca="1">IFERROR(__xludf.DUMMYFUNCTION("""COMPUTED_VALUE"""),"Нюхина")</f>
        <v>Нюхина</v>
      </c>
      <c r="C72" t="str">
        <f ca="1">IFERROR(__xludf.DUMMYFUNCTION("""COMPUTED_VALUE"""),"Ирина")</f>
        <v>Ирина</v>
      </c>
      <c r="D72" t="str">
        <f ca="1">IFERROR(__xludf.DUMMYFUNCTION("""COMPUTED_VALUE"""),"Школа 407")</f>
        <v>Школа 407</v>
      </c>
      <c r="E72" s="5">
        <f ca="1">IFERROR(__xludf.DUMMYFUNCTION("""COMPUTED_VALUE"""),1)</f>
        <v>1</v>
      </c>
      <c r="F72" s="5">
        <f ca="1">IFERROR(__xludf.DUMMYFUNCTION("""COMPUTED_VALUE"""),0)</f>
        <v>0</v>
      </c>
      <c r="G72" s="5">
        <f ca="1">IFERROR(__xludf.DUMMYFUNCTION("""COMPUTED_VALUE"""),3)</f>
        <v>3</v>
      </c>
      <c r="H72" s="5">
        <f ca="1">IFERROR(__xludf.DUMMYFUNCTION("""COMPUTED_VALUE"""),5)</f>
        <v>5</v>
      </c>
      <c r="I72" s="5">
        <f ca="1">IFERROR(__xludf.DUMMYFUNCTION("""COMPUTED_VALUE"""),0)</f>
        <v>0</v>
      </c>
      <c r="J72" s="5">
        <f ca="1">IFERROR(__xludf.DUMMYFUNCTION("""COMPUTED_VALUE"""),4)</f>
        <v>4</v>
      </c>
      <c r="K72" s="5">
        <f ca="1">IFERROR(__xludf.DUMMYFUNCTION("""COMPUTED_VALUE"""),0)</f>
        <v>0</v>
      </c>
      <c r="L72" s="5"/>
      <c r="M72">
        <f ca="1">IFERROR(__xludf.DUMMYFUNCTION("""COMPUTED_VALUE"""),13)</f>
        <v>13</v>
      </c>
      <c r="N72" s="8" t="str">
        <f ca="1">IFERROR(__xludf.DUMMYFUNCTION("""COMPUTED_VALUE"""),"ПО1")</f>
        <v>ПО1</v>
      </c>
    </row>
    <row r="73" spans="1:14" ht="12.45" hidden="1">
      <c r="A73" t="str">
        <f ca="1">IFERROR(__xludf.DUMMYFUNCTION("""COMPUTED_VALUE"""),"III-1-247")</f>
        <v>III-1-247</v>
      </c>
      <c r="B73" t="str">
        <f ca="1">IFERROR(__xludf.DUMMYFUNCTION("""COMPUTED_VALUE"""),"Коних")</f>
        <v>Коних</v>
      </c>
      <c r="C73" t="str">
        <f ca="1">IFERROR(__xludf.DUMMYFUNCTION("""COMPUTED_VALUE"""),"Игорь")</f>
        <v>Игорь</v>
      </c>
      <c r="D73" t="str">
        <f ca="1">IFERROR(__xludf.DUMMYFUNCTION("""COMPUTED_VALUE"""),"Лицей 150")</f>
        <v>Лицей 150</v>
      </c>
      <c r="E73" s="5">
        <f ca="1">IFERROR(__xludf.DUMMYFUNCTION("""COMPUTED_VALUE"""),2)</f>
        <v>2</v>
      </c>
      <c r="F73" s="5">
        <f ca="1">IFERROR(__xludf.DUMMYFUNCTION("""COMPUTED_VALUE"""),3)</f>
        <v>3</v>
      </c>
      <c r="G73" s="5">
        <f ca="1">IFERROR(__xludf.DUMMYFUNCTION("""COMPUTED_VALUE"""),3)</f>
        <v>3</v>
      </c>
      <c r="H73" s="5">
        <f ca="1">IFERROR(__xludf.DUMMYFUNCTION("""COMPUTED_VALUE"""),0)</f>
        <v>0</v>
      </c>
      <c r="I73" s="5">
        <f ca="1">IFERROR(__xludf.DUMMYFUNCTION("""COMPUTED_VALUE"""),0)</f>
        <v>0</v>
      </c>
      <c r="J73" s="5">
        <f ca="1">IFERROR(__xludf.DUMMYFUNCTION("""COMPUTED_VALUE"""),0)</f>
        <v>0</v>
      </c>
      <c r="K73" s="5">
        <f ca="1">IFERROR(__xludf.DUMMYFUNCTION("""COMPUTED_VALUE"""),4)</f>
        <v>4</v>
      </c>
      <c r="L73" s="5">
        <f ca="1">IFERROR(__xludf.DUMMYFUNCTION("""COMPUTED_VALUE"""),1)</f>
        <v>1</v>
      </c>
      <c r="M73">
        <f ca="1">IFERROR(__xludf.DUMMYFUNCTION("""COMPUTED_VALUE"""),13)</f>
        <v>13</v>
      </c>
      <c r="N73" s="8" t="str">
        <f ca="1">IFERROR(__xludf.DUMMYFUNCTION("""COMPUTED_VALUE"""),"ПО1")</f>
        <v>ПО1</v>
      </c>
    </row>
    <row r="74" spans="1:14" ht="12.45" hidden="1">
      <c r="A74" t="str">
        <f ca="1">IFERROR(__xludf.DUMMYFUNCTION("""COMPUTED_VALUE"""),"V-1-585")</f>
        <v>V-1-585</v>
      </c>
      <c r="B74" t="str">
        <f ca="1">IFERROR(__xludf.DUMMYFUNCTION("""COMPUTED_VALUE"""),"Чуносов")</f>
        <v>Чуносов</v>
      </c>
      <c r="C74" t="str">
        <f ca="1">IFERROR(__xludf.DUMMYFUNCTION("""COMPUTED_VALUE"""),"Прохор")</f>
        <v>Прохор</v>
      </c>
      <c r="D74" t="str">
        <f ca="1">IFERROR(__xludf.DUMMYFUNCTION("""COMPUTED_VALUE"""),"Школа 559")</f>
        <v>Школа 559</v>
      </c>
      <c r="E74" s="5">
        <f ca="1">IFERROR(__xludf.DUMMYFUNCTION("""COMPUTED_VALUE"""),1)</f>
        <v>1</v>
      </c>
      <c r="F74" s="5">
        <f ca="1">IFERROR(__xludf.DUMMYFUNCTION("""COMPUTED_VALUE"""),0)</f>
        <v>0</v>
      </c>
      <c r="G74" s="5">
        <f ca="1">IFERROR(__xludf.DUMMYFUNCTION("""COMPUTED_VALUE"""),3)</f>
        <v>3</v>
      </c>
      <c r="H74" s="5">
        <f ca="1">IFERROR(__xludf.DUMMYFUNCTION("""COMPUTED_VALUE"""),0)</f>
        <v>0</v>
      </c>
      <c r="I74" s="5">
        <f ca="1">IFERROR(__xludf.DUMMYFUNCTION("""COMPUTED_VALUE"""),0)</f>
        <v>0</v>
      </c>
      <c r="J74" s="5">
        <f ca="1">IFERROR(__xludf.DUMMYFUNCTION("""COMPUTED_VALUE"""),4)</f>
        <v>4</v>
      </c>
      <c r="K74" s="5">
        <f ca="1">IFERROR(__xludf.DUMMYFUNCTION("""COMPUTED_VALUE"""),4)</f>
        <v>4</v>
      </c>
      <c r="L74" s="5">
        <f ca="1">IFERROR(__xludf.DUMMYFUNCTION("""COMPUTED_VALUE"""),1)</f>
        <v>1</v>
      </c>
      <c r="M74">
        <f ca="1">IFERROR(__xludf.DUMMYFUNCTION("""COMPUTED_VALUE"""),13)</f>
        <v>13</v>
      </c>
      <c r="N74" s="8" t="str">
        <f ca="1">IFERROR(__xludf.DUMMYFUNCTION("""COMPUTED_VALUE"""),"ПО1")</f>
        <v>ПО1</v>
      </c>
    </row>
    <row r="75" spans="1:14" ht="12.45" hidden="1">
      <c r="A75" t="str">
        <f ca="1">IFERROR(__xludf.DUMMYFUNCTION("""COMPUTED_VALUE"""),"III-1-290")</f>
        <v>III-1-290</v>
      </c>
      <c r="B75" t="str">
        <f ca="1">IFERROR(__xludf.DUMMYFUNCTION("""COMPUTED_VALUE"""),"Леонтьев")</f>
        <v>Леонтьев</v>
      </c>
      <c r="C75" t="str">
        <f ca="1">IFERROR(__xludf.DUMMYFUNCTION("""COMPUTED_VALUE"""),"Алексей")</f>
        <v>Алексей</v>
      </c>
      <c r="D75" t="str">
        <f ca="1">IFERROR(__xludf.DUMMYFUNCTION("""COMPUTED_VALUE"""),"Гимназия 261")</f>
        <v>Гимназия 261</v>
      </c>
      <c r="E75" s="5">
        <f ca="1">IFERROR(__xludf.DUMMYFUNCTION("""COMPUTED_VALUE"""),0)</f>
        <v>0</v>
      </c>
      <c r="F75" s="5">
        <f ca="1">IFERROR(__xludf.DUMMYFUNCTION("""COMPUTED_VALUE"""),0)</f>
        <v>0</v>
      </c>
      <c r="G75" s="5">
        <f ca="1">IFERROR(__xludf.DUMMYFUNCTION("""COMPUTED_VALUE"""),3)</f>
        <v>3</v>
      </c>
      <c r="H75" s="5">
        <f ca="1">IFERROR(__xludf.DUMMYFUNCTION("""COMPUTED_VALUE"""),0)</f>
        <v>0</v>
      </c>
      <c r="I75" s="5">
        <f ca="1">IFERROR(__xludf.DUMMYFUNCTION("""COMPUTED_VALUE"""),0)</f>
        <v>0</v>
      </c>
      <c r="J75" s="5">
        <f ca="1">IFERROR(__xludf.DUMMYFUNCTION("""COMPUTED_VALUE"""),4)</f>
        <v>4</v>
      </c>
      <c r="K75" s="5">
        <f ca="1">IFERROR(__xludf.DUMMYFUNCTION("""COMPUTED_VALUE"""),4)</f>
        <v>4</v>
      </c>
      <c r="L75" s="5">
        <f ca="1">IFERROR(__xludf.DUMMYFUNCTION("""COMPUTED_VALUE"""),1)</f>
        <v>1</v>
      </c>
      <c r="M75">
        <f ca="1">IFERROR(__xludf.DUMMYFUNCTION("""COMPUTED_VALUE"""),12)</f>
        <v>12</v>
      </c>
      <c r="N75" s="8" t="str">
        <f ca="1">IFERROR(__xludf.DUMMYFUNCTION("""COMPUTED_VALUE"""),"ПО2")</f>
        <v>ПО2</v>
      </c>
    </row>
    <row r="76" spans="1:14" ht="12.45">
      <c r="A76" t="str">
        <f ca="1">IFERROR(__xludf.DUMMYFUNCTION("""COMPUTED_VALUE"""),"V-1-376")</f>
        <v>V-1-376</v>
      </c>
      <c r="B76" t="str">
        <f ca="1">IFERROR(__xludf.DUMMYFUNCTION("""COMPUTED_VALUE"""),"Орлов")</f>
        <v>Орлов</v>
      </c>
      <c r="C76" t="str">
        <f ca="1">IFERROR(__xludf.DUMMYFUNCTION("""COMPUTED_VALUE"""),"Егор")</f>
        <v>Егор</v>
      </c>
      <c r="D76" t="str">
        <f ca="1">IFERROR(__xludf.DUMMYFUNCTION("""COMPUTED_VALUE"""),"Гимназия Лингвистическая гимназия 3 Улан-Удэ")</f>
        <v>Гимназия Лингвистическая гимназия 3 Улан-Удэ</v>
      </c>
      <c r="E76" s="5">
        <f ca="1">IFERROR(__xludf.DUMMYFUNCTION("""COMPUTED_VALUE"""),2)</f>
        <v>2</v>
      </c>
      <c r="F76" s="5">
        <f ca="1">IFERROR(__xludf.DUMMYFUNCTION("""COMPUTED_VALUE"""),0)</f>
        <v>0</v>
      </c>
      <c r="G76" s="5">
        <f ca="1">IFERROR(__xludf.DUMMYFUNCTION("""COMPUTED_VALUE"""),3)</f>
        <v>3</v>
      </c>
      <c r="H76" s="5">
        <f ca="1">IFERROR(__xludf.DUMMYFUNCTION("""COMPUTED_VALUE"""),0)</f>
        <v>0</v>
      </c>
      <c r="I76" s="5">
        <f ca="1">IFERROR(__xludf.DUMMYFUNCTION("""COMPUTED_VALUE"""),2)</f>
        <v>2</v>
      </c>
      <c r="J76" s="5">
        <f ca="1">IFERROR(__xludf.DUMMYFUNCTION("""COMPUTED_VALUE"""),0)</f>
        <v>0</v>
      </c>
      <c r="K76" s="5">
        <f ca="1">IFERROR(__xludf.DUMMYFUNCTION("""COMPUTED_VALUE"""),4)</f>
        <v>4</v>
      </c>
      <c r="L76" s="5">
        <f ca="1">IFERROR(__xludf.DUMMYFUNCTION("""COMPUTED_VALUE"""),1)</f>
        <v>1</v>
      </c>
      <c r="M76">
        <f ca="1">IFERROR(__xludf.DUMMYFUNCTION("""COMPUTED_VALUE"""),12)</f>
        <v>12</v>
      </c>
      <c r="N76" s="8" t="str">
        <f ca="1">IFERROR(__xludf.DUMMYFUNCTION("""COMPUTED_VALUE"""),"ПО2")</f>
        <v>ПО2</v>
      </c>
    </row>
    <row r="77" spans="1:14" ht="12.45" hidden="1">
      <c r="A77" t="str">
        <f ca="1">IFERROR(__xludf.DUMMYFUNCTION("""COMPUTED_VALUE"""),"V-1-429")</f>
        <v>V-1-429</v>
      </c>
      <c r="B77" t="str">
        <f ca="1">IFERROR(__xludf.DUMMYFUNCTION("""COMPUTED_VALUE"""),"Радеев")</f>
        <v>Радеев</v>
      </c>
      <c r="C77" t="str">
        <f ca="1">IFERROR(__xludf.DUMMYFUNCTION("""COMPUTED_VALUE"""),"Степан")</f>
        <v>Степан</v>
      </c>
      <c r="D77" t="str">
        <f ca="1">IFERROR(__xludf.DUMMYFUNCTION("""COMPUTED_VALUE"""),"Лицей 344")</f>
        <v>Лицей 344</v>
      </c>
      <c r="E77" s="5">
        <f ca="1">IFERROR(__xludf.DUMMYFUNCTION("""COMPUTED_VALUE"""),2)</f>
        <v>2</v>
      </c>
      <c r="F77" s="5">
        <f ca="1">IFERROR(__xludf.DUMMYFUNCTION("""COMPUTED_VALUE"""),3)</f>
        <v>3</v>
      </c>
      <c r="G77" s="5">
        <f ca="1">IFERROR(__xludf.DUMMYFUNCTION("""COMPUTED_VALUE"""),3)</f>
        <v>3</v>
      </c>
      <c r="H77" s="5">
        <f ca="1">IFERROR(__xludf.DUMMYFUNCTION("""COMPUTED_VALUE"""),0)</f>
        <v>0</v>
      </c>
      <c r="I77" s="5">
        <f ca="1">IFERROR(__xludf.DUMMYFUNCTION("""COMPUTED_VALUE"""),0)</f>
        <v>0</v>
      </c>
      <c r="J77" s="5">
        <f ca="1">IFERROR(__xludf.DUMMYFUNCTION("""COMPUTED_VALUE"""),0)</f>
        <v>0</v>
      </c>
      <c r="K77" s="5">
        <f ca="1">IFERROR(__xludf.DUMMYFUNCTION("""COMPUTED_VALUE"""),4)</f>
        <v>4</v>
      </c>
      <c r="L77" s="5">
        <f ca="1">IFERROR(__xludf.DUMMYFUNCTION("""COMPUTED_VALUE"""),0)</f>
        <v>0</v>
      </c>
      <c r="M77">
        <f ca="1">IFERROR(__xludf.DUMMYFUNCTION("""COMPUTED_VALUE"""),12)</f>
        <v>12</v>
      </c>
      <c r="N77" s="8" t="str">
        <f ca="1">IFERROR(__xludf.DUMMYFUNCTION("""COMPUTED_VALUE"""),"ПО2")</f>
        <v>ПО2</v>
      </c>
    </row>
    <row r="78" spans="1:14" ht="12.45" hidden="1">
      <c r="A78" t="str">
        <f ca="1">IFERROR(__xludf.DUMMYFUNCTION("""COMPUTED_VALUE"""),"V-1-435")</f>
        <v>V-1-435</v>
      </c>
      <c r="B78" t="str">
        <f ca="1">IFERROR(__xludf.DUMMYFUNCTION("""COMPUTED_VALUE"""),"Рассохина")</f>
        <v>Рассохина</v>
      </c>
      <c r="C78" t="str">
        <f ca="1">IFERROR(__xludf.DUMMYFUNCTION("""COMPUTED_VALUE"""),"Алина")</f>
        <v>Алина</v>
      </c>
      <c r="D78" t="str">
        <f ca="1">IFERROR(__xludf.DUMMYFUNCTION("""COMPUTED_VALUE"""),"Гимназия 92")</f>
        <v>Гимназия 92</v>
      </c>
      <c r="E78" s="5">
        <f ca="1">IFERROR(__xludf.DUMMYFUNCTION("""COMPUTED_VALUE"""),0)</f>
        <v>0</v>
      </c>
      <c r="F78" s="5">
        <f ca="1">IFERROR(__xludf.DUMMYFUNCTION("""COMPUTED_VALUE"""),0)</f>
        <v>0</v>
      </c>
      <c r="G78" s="5">
        <f ca="1">IFERROR(__xludf.DUMMYFUNCTION("""COMPUTED_VALUE"""),3)</f>
        <v>3</v>
      </c>
      <c r="H78" s="5">
        <f ca="1">IFERROR(__xludf.DUMMYFUNCTION("""COMPUTED_VALUE"""),0)</f>
        <v>0</v>
      </c>
      <c r="I78" s="5">
        <f ca="1">IFERROR(__xludf.DUMMYFUNCTION("""COMPUTED_VALUE"""),0)</f>
        <v>0</v>
      </c>
      <c r="J78" s="5">
        <f ca="1">IFERROR(__xludf.DUMMYFUNCTION("""COMPUTED_VALUE"""),4)</f>
        <v>4</v>
      </c>
      <c r="K78" s="5">
        <f ca="1">IFERROR(__xludf.DUMMYFUNCTION("""COMPUTED_VALUE"""),4)</f>
        <v>4</v>
      </c>
      <c r="L78" s="5">
        <f ca="1">IFERROR(__xludf.DUMMYFUNCTION("""COMPUTED_VALUE"""),1)</f>
        <v>1</v>
      </c>
      <c r="M78">
        <f ca="1">IFERROR(__xludf.DUMMYFUNCTION("""COMPUTED_VALUE"""),12)</f>
        <v>12</v>
      </c>
      <c r="N78" s="8" t="str">
        <f ca="1">IFERROR(__xludf.DUMMYFUNCTION("""COMPUTED_VALUE"""),"ПО2")</f>
        <v>ПО2</v>
      </c>
    </row>
    <row r="79" spans="1:14" ht="12.45" hidden="1">
      <c r="A79" t="str">
        <f ca="1">IFERROR(__xludf.DUMMYFUNCTION("""COMPUTED_VALUE"""),"III-1-162")</f>
        <v>III-1-162</v>
      </c>
      <c r="B79" t="str">
        <f ca="1">IFERROR(__xludf.DUMMYFUNCTION("""COMPUTED_VALUE"""),"Добродеев")</f>
        <v>Добродеев</v>
      </c>
      <c r="C79" t="str">
        <f ca="1">IFERROR(__xludf.DUMMYFUNCTION("""COMPUTED_VALUE"""),"Александр")</f>
        <v>Александр</v>
      </c>
      <c r="D79" t="str">
        <f ca="1">IFERROR(__xludf.DUMMYFUNCTION("""COMPUTED_VALUE"""),"Гимназия 330")</f>
        <v>Гимназия 330</v>
      </c>
      <c r="E79" s="5">
        <f ca="1">IFERROR(__xludf.DUMMYFUNCTION("""COMPUTED_VALUE"""),2)</f>
        <v>2</v>
      </c>
      <c r="F79" s="5">
        <f ca="1">IFERROR(__xludf.DUMMYFUNCTION("""COMPUTED_VALUE"""),3)</f>
        <v>3</v>
      </c>
      <c r="G79" s="5">
        <f ca="1">IFERROR(__xludf.DUMMYFUNCTION("""COMPUTED_VALUE"""),3)</f>
        <v>3</v>
      </c>
      <c r="H79" s="5">
        <f ca="1">IFERROR(__xludf.DUMMYFUNCTION("""COMPUTED_VALUE"""),0)</f>
        <v>0</v>
      </c>
      <c r="I79" s="5"/>
      <c r="J79" s="5">
        <f ca="1">IFERROR(__xludf.DUMMYFUNCTION("""COMPUTED_VALUE"""),4)</f>
        <v>4</v>
      </c>
      <c r="K79" s="5">
        <f ca="1">IFERROR(__xludf.DUMMYFUNCTION("""COMPUTED_VALUE"""),0)</f>
        <v>0</v>
      </c>
      <c r="L79" s="5">
        <f ca="1">IFERROR(__xludf.DUMMYFUNCTION("""COMPUTED_VALUE"""),0)</f>
        <v>0</v>
      </c>
      <c r="M79">
        <f ca="1">IFERROR(__xludf.DUMMYFUNCTION("""COMPUTED_VALUE"""),12)</f>
        <v>12</v>
      </c>
      <c r="N79" s="8" t="str">
        <f ca="1">IFERROR(__xludf.DUMMYFUNCTION("""COMPUTED_VALUE"""),"ПО2")</f>
        <v>ПО2</v>
      </c>
    </row>
    <row r="80" spans="1:14" ht="12.45" hidden="1">
      <c r="A80" t="str">
        <f ca="1">IFERROR(__xludf.DUMMYFUNCTION("""COMPUTED_VALUE"""),"III-1-066")</f>
        <v>III-1-066</v>
      </c>
      <c r="B80" t="str">
        <f ca="1">IFERROR(__xludf.DUMMYFUNCTION("""COMPUTED_VALUE"""),"Богомолов")</f>
        <v>Богомолов</v>
      </c>
      <c r="C80" t="str">
        <f ca="1">IFERROR(__xludf.DUMMYFUNCTION("""COMPUTED_VALUE"""),"Иван")</f>
        <v>Иван</v>
      </c>
      <c r="D80" t="str">
        <f ca="1">IFERROR(__xludf.DUMMYFUNCTION("""COMPUTED_VALUE"""),"Гимназия Фракталгванца")</f>
        <v>Гимназия Фракталгванца</v>
      </c>
      <c r="E80" s="5">
        <f ca="1">IFERROR(__xludf.DUMMYFUNCTION("""COMPUTED_VALUE"""),2)</f>
        <v>2</v>
      </c>
      <c r="F80" s="5">
        <f ca="1">IFERROR(__xludf.DUMMYFUNCTION("""COMPUTED_VALUE"""),3)</f>
        <v>3</v>
      </c>
      <c r="G80" s="5">
        <f ca="1">IFERROR(__xludf.DUMMYFUNCTION("""COMPUTED_VALUE"""),3)</f>
        <v>3</v>
      </c>
      <c r="H80" s="5">
        <f ca="1">IFERROR(__xludf.DUMMYFUNCTION("""COMPUTED_VALUE"""),0)</f>
        <v>0</v>
      </c>
      <c r="I80" s="5">
        <f ca="1">IFERROR(__xludf.DUMMYFUNCTION("""COMPUTED_VALUE"""),0)</f>
        <v>0</v>
      </c>
      <c r="J80" s="5">
        <f ca="1">IFERROR(__xludf.DUMMYFUNCTION("""COMPUTED_VALUE"""),4)</f>
        <v>4</v>
      </c>
      <c r="K80" s="5">
        <f ca="1">IFERROR(__xludf.DUMMYFUNCTION("""COMPUTED_VALUE"""),0)</f>
        <v>0</v>
      </c>
      <c r="L80" s="5">
        <f ca="1">IFERROR(__xludf.DUMMYFUNCTION("""COMPUTED_VALUE"""),0)</f>
        <v>0</v>
      </c>
      <c r="M80">
        <f ca="1">IFERROR(__xludf.DUMMYFUNCTION("""COMPUTED_VALUE"""),12)</f>
        <v>12</v>
      </c>
      <c r="N80" s="8" t="str">
        <f ca="1">IFERROR(__xludf.DUMMYFUNCTION("""COMPUTED_VALUE"""),"ПО2")</f>
        <v>ПО2</v>
      </c>
    </row>
    <row r="81" spans="1:14" ht="12.45" hidden="1">
      <c r="A81" t="str">
        <f ca="1">IFERROR(__xludf.DUMMYFUNCTION("""COMPUTED_VALUE"""),"III-1-052")</f>
        <v>III-1-052</v>
      </c>
      <c r="B81" t="str">
        <f ca="1">IFERROR(__xludf.DUMMYFUNCTION("""COMPUTED_VALUE"""),"Башмаков")</f>
        <v>Башмаков</v>
      </c>
      <c r="C81" t="str">
        <f ca="1">IFERROR(__xludf.DUMMYFUNCTION("""COMPUTED_VALUE"""),"Владислав")</f>
        <v>Владислав</v>
      </c>
      <c r="D81" t="str">
        <f ca="1">IFERROR(__xludf.DUMMYFUNCTION("""COMPUTED_VALUE"""),"Школа 655")</f>
        <v>Школа 655</v>
      </c>
      <c r="E81" s="5">
        <f ca="1">IFERROR(__xludf.DUMMYFUNCTION("""COMPUTED_VALUE"""),2)</f>
        <v>2</v>
      </c>
      <c r="F81" s="5">
        <f ca="1">IFERROR(__xludf.DUMMYFUNCTION("""COMPUTED_VALUE"""),0)</f>
        <v>0</v>
      </c>
      <c r="G81" s="5">
        <f ca="1">IFERROR(__xludf.DUMMYFUNCTION("""COMPUTED_VALUE"""),3)</f>
        <v>3</v>
      </c>
      <c r="H81" s="5">
        <f ca="1">IFERROR(__xludf.DUMMYFUNCTION("""COMPUTED_VALUE"""),2)</f>
        <v>2</v>
      </c>
      <c r="I81" s="5">
        <f ca="1">IFERROR(__xludf.DUMMYFUNCTION("""COMPUTED_VALUE"""),0)</f>
        <v>0</v>
      </c>
      <c r="J81" s="5">
        <f ca="1">IFERROR(__xludf.DUMMYFUNCTION("""COMPUTED_VALUE"""),0)</f>
        <v>0</v>
      </c>
      <c r="K81" s="5">
        <f ca="1">IFERROR(__xludf.DUMMYFUNCTION("""COMPUTED_VALUE"""),4)</f>
        <v>4</v>
      </c>
      <c r="L81" s="5">
        <f ca="1">IFERROR(__xludf.DUMMYFUNCTION("""COMPUTED_VALUE"""),1)</f>
        <v>1</v>
      </c>
      <c r="M81">
        <f ca="1">IFERROR(__xludf.DUMMYFUNCTION("""COMPUTED_VALUE"""),12)</f>
        <v>12</v>
      </c>
      <c r="N81" s="8" t="str">
        <f ca="1">IFERROR(__xludf.DUMMYFUNCTION("""COMPUTED_VALUE"""),"ПО2")</f>
        <v>ПО2</v>
      </c>
    </row>
    <row r="82" spans="1:14" ht="12.45" hidden="1">
      <c r="A82" t="str">
        <f ca="1">IFERROR(__xludf.DUMMYFUNCTION("""COMPUTED_VALUE"""),"III-1-004")</f>
        <v>III-1-004</v>
      </c>
      <c r="B82" t="str">
        <f ca="1">IFERROR(__xludf.DUMMYFUNCTION("""COMPUTED_VALUE"""),"Авхименьев")</f>
        <v>Авхименьев</v>
      </c>
      <c r="C82" t="str">
        <f ca="1">IFERROR(__xludf.DUMMYFUNCTION("""COMPUTED_VALUE"""),"Максимилиан")</f>
        <v>Максимилиан</v>
      </c>
      <c r="D82" t="str">
        <f ca="1">IFERROR(__xludf.DUMMYFUNCTION("""COMPUTED_VALUE"""),"Гимназия 261")</f>
        <v>Гимназия 261</v>
      </c>
      <c r="E82" s="5">
        <f ca="1">IFERROR(__xludf.DUMMYFUNCTION("""COMPUTED_VALUE"""),2)</f>
        <v>2</v>
      </c>
      <c r="F82" s="5">
        <f ca="1">IFERROR(__xludf.DUMMYFUNCTION("""COMPUTED_VALUE"""),0)</f>
        <v>0</v>
      </c>
      <c r="G82" s="5">
        <f ca="1">IFERROR(__xludf.DUMMYFUNCTION("""COMPUTED_VALUE"""),0)</f>
        <v>0</v>
      </c>
      <c r="H82" s="5">
        <f ca="1">IFERROR(__xludf.DUMMYFUNCTION("""COMPUTED_VALUE"""),5)</f>
        <v>5</v>
      </c>
      <c r="I82" s="5">
        <f ca="1">IFERROR(__xludf.DUMMYFUNCTION("""COMPUTED_VALUE"""),0)</f>
        <v>0</v>
      </c>
      <c r="J82" s="5">
        <f ca="1">IFERROR(__xludf.DUMMYFUNCTION("""COMPUTED_VALUE"""),0)</f>
        <v>0</v>
      </c>
      <c r="K82" s="5">
        <f ca="1">IFERROR(__xludf.DUMMYFUNCTION("""COMPUTED_VALUE"""),4)</f>
        <v>4</v>
      </c>
      <c r="L82" s="5">
        <f ca="1">IFERROR(__xludf.DUMMYFUNCTION("""COMPUTED_VALUE"""),1)</f>
        <v>1</v>
      </c>
      <c r="M82">
        <f ca="1">IFERROR(__xludf.DUMMYFUNCTION("""COMPUTED_VALUE"""),12)</f>
        <v>12</v>
      </c>
      <c r="N82" s="8" t="str">
        <f ca="1">IFERROR(__xludf.DUMMYFUNCTION("""COMPUTED_VALUE"""),"ПО2")</f>
        <v>ПО2</v>
      </c>
    </row>
    <row r="83" spans="1:14" ht="12.45" hidden="1">
      <c r="A83" t="str">
        <f ca="1">IFERROR(__xludf.DUMMYFUNCTION("""COMPUTED_VALUE"""),"V-1-575")</f>
        <v>V-1-575</v>
      </c>
      <c r="B83" t="str">
        <f ca="1">IFERROR(__xludf.DUMMYFUNCTION("""COMPUTED_VALUE"""),"Черкашов")</f>
        <v>Черкашов</v>
      </c>
      <c r="C83" t="str">
        <f ca="1">IFERROR(__xludf.DUMMYFUNCTION("""COMPUTED_VALUE"""),"Андрей")</f>
        <v>Андрей</v>
      </c>
      <c r="D83" t="str">
        <f ca="1">IFERROR(__xludf.DUMMYFUNCTION("""COMPUTED_VALUE"""),"Школа 548")</f>
        <v>Школа 548</v>
      </c>
      <c r="E83" s="5">
        <f ca="1">IFERROR(__xludf.DUMMYFUNCTION("""COMPUTED_VALUE"""),2)</f>
        <v>2</v>
      </c>
      <c r="F83" s="5">
        <f ca="1">IFERROR(__xludf.DUMMYFUNCTION("""COMPUTED_VALUE"""),3)</f>
        <v>3</v>
      </c>
      <c r="G83" s="5">
        <f ca="1">IFERROR(__xludf.DUMMYFUNCTION("""COMPUTED_VALUE"""),3)</f>
        <v>3</v>
      </c>
      <c r="H83" s="5">
        <f ca="1">IFERROR(__xludf.DUMMYFUNCTION("""COMPUTED_VALUE"""),0)</f>
        <v>0</v>
      </c>
      <c r="I83" s="5">
        <f ca="1">IFERROR(__xludf.DUMMYFUNCTION("""COMPUTED_VALUE"""),0)</f>
        <v>0</v>
      </c>
      <c r="J83" s="5">
        <f ca="1">IFERROR(__xludf.DUMMYFUNCTION("""COMPUTED_VALUE"""),0)</f>
        <v>0</v>
      </c>
      <c r="K83" s="5">
        <f ca="1">IFERROR(__xludf.DUMMYFUNCTION("""COMPUTED_VALUE"""),4)</f>
        <v>4</v>
      </c>
      <c r="L83" s="5">
        <f ca="1">IFERROR(__xludf.DUMMYFUNCTION("""COMPUTED_VALUE"""),0)</f>
        <v>0</v>
      </c>
      <c r="M83">
        <f ca="1">IFERROR(__xludf.DUMMYFUNCTION("""COMPUTED_VALUE"""),12)</f>
        <v>12</v>
      </c>
      <c r="N83" s="8" t="str">
        <f ca="1">IFERROR(__xludf.DUMMYFUNCTION("""COMPUTED_VALUE"""),"ПО2")</f>
        <v>ПО2</v>
      </c>
    </row>
    <row r="84" spans="1:14" ht="12.45" hidden="1">
      <c r="A84" t="str">
        <f ca="1">IFERROR(__xludf.DUMMYFUNCTION("""COMPUTED_VALUE"""),"V-1-319")</f>
        <v>V-1-319</v>
      </c>
      <c r="B84" t="str">
        <f ca="1">IFERROR(__xludf.DUMMYFUNCTION("""COMPUTED_VALUE"""),"Мащалгин")</f>
        <v>Мащалгин</v>
      </c>
      <c r="C84" t="str">
        <f ca="1">IFERROR(__xludf.DUMMYFUNCTION("""COMPUTED_VALUE"""),"Алексей")</f>
        <v>Алексей</v>
      </c>
      <c r="D84" t="str">
        <f ca="1">IFERROR(__xludf.DUMMYFUNCTION("""COMPUTED_VALUE"""),"Школа 494")</f>
        <v>Школа 494</v>
      </c>
      <c r="E84" s="5">
        <f ca="1">IFERROR(__xludf.DUMMYFUNCTION("""COMPUTED_VALUE"""),1)</f>
        <v>1</v>
      </c>
      <c r="F84" s="5">
        <f ca="1">IFERROR(__xludf.DUMMYFUNCTION("""COMPUTED_VALUE"""),0)</f>
        <v>0</v>
      </c>
      <c r="G84" s="5">
        <f ca="1">IFERROR(__xludf.DUMMYFUNCTION("""COMPUTED_VALUE"""),0)</f>
        <v>0</v>
      </c>
      <c r="H84" s="5">
        <f ca="1">IFERROR(__xludf.DUMMYFUNCTION("""COMPUTED_VALUE"""),0)</f>
        <v>0</v>
      </c>
      <c r="I84" s="5">
        <f ca="1">IFERROR(__xludf.DUMMYFUNCTION("""COMPUTED_VALUE"""),2)</f>
        <v>2</v>
      </c>
      <c r="J84" s="5">
        <f ca="1">IFERROR(__xludf.DUMMYFUNCTION("""COMPUTED_VALUE"""),4)</f>
        <v>4</v>
      </c>
      <c r="K84" s="5">
        <f ca="1">IFERROR(__xludf.DUMMYFUNCTION("""COMPUTED_VALUE"""),4)</f>
        <v>4</v>
      </c>
      <c r="L84" s="5">
        <f ca="1">IFERROR(__xludf.DUMMYFUNCTION("""COMPUTED_VALUE"""),1)</f>
        <v>1</v>
      </c>
      <c r="M84">
        <f ca="1">IFERROR(__xludf.DUMMYFUNCTION("""COMPUTED_VALUE"""),12)</f>
        <v>12</v>
      </c>
      <c r="N84" s="8" t="str">
        <f ca="1">IFERROR(__xludf.DUMMYFUNCTION("""COMPUTED_VALUE"""),"ПО2")</f>
        <v>ПО2</v>
      </c>
    </row>
    <row r="85" spans="1:14" ht="12.45" hidden="1">
      <c r="A85" t="str">
        <f ca="1">IFERROR(__xludf.DUMMYFUNCTION("""COMPUTED_VALUE"""),"V-1-421")</f>
        <v>V-1-421</v>
      </c>
      <c r="B85" t="str">
        <f ca="1">IFERROR(__xludf.DUMMYFUNCTION("""COMPUTED_VALUE"""),"Пронина")</f>
        <v>Пронина</v>
      </c>
      <c r="C85" t="str">
        <f ca="1">IFERROR(__xludf.DUMMYFUNCTION("""COMPUTED_VALUE"""),"Анастасия")</f>
        <v>Анастасия</v>
      </c>
      <c r="D85" t="str">
        <f ca="1">IFERROR(__xludf.DUMMYFUNCTION("""COMPUTED_VALUE"""),"Школа 655")</f>
        <v>Школа 655</v>
      </c>
      <c r="E85" s="5">
        <f ca="1">IFERROR(__xludf.DUMMYFUNCTION("""COMPUTED_VALUE"""),1)</f>
        <v>1</v>
      </c>
      <c r="F85" s="5">
        <f ca="1">IFERROR(__xludf.DUMMYFUNCTION("""COMPUTED_VALUE"""),3)</f>
        <v>3</v>
      </c>
      <c r="G85" s="5">
        <f ca="1">IFERROR(__xludf.DUMMYFUNCTION("""COMPUTED_VALUE"""),3)</f>
        <v>3</v>
      </c>
      <c r="H85" s="5">
        <f ca="1">IFERROR(__xludf.DUMMYFUNCTION("""COMPUTED_VALUE"""),0)</f>
        <v>0</v>
      </c>
      <c r="I85" s="5">
        <f ca="1">IFERROR(__xludf.DUMMYFUNCTION("""COMPUTED_VALUE"""),0)</f>
        <v>0</v>
      </c>
      <c r="J85" s="5">
        <f ca="1">IFERROR(__xludf.DUMMYFUNCTION("""COMPUTED_VALUE"""),4)</f>
        <v>4</v>
      </c>
      <c r="K85" s="5">
        <f ca="1">IFERROR(__xludf.DUMMYFUNCTION("""COMPUTED_VALUE"""),0)</f>
        <v>0</v>
      </c>
      <c r="L85" s="5">
        <f ca="1">IFERROR(__xludf.DUMMYFUNCTION("""COMPUTED_VALUE"""),1)</f>
        <v>1</v>
      </c>
      <c r="M85">
        <f ca="1">IFERROR(__xludf.DUMMYFUNCTION("""COMPUTED_VALUE"""),12)</f>
        <v>12</v>
      </c>
      <c r="N85" s="8" t="str">
        <f ca="1">IFERROR(__xludf.DUMMYFUNCTION("""COMPUTED_VALUE"""),"ПО2")</f>
        <v>ПО2</v>
      </c>
    </row>
    <row r="86" spans="1:14" ht="12.45" hidden="1">
      <c r="A86" t="str">
        <f ca="1">IFERROR(__xludf.DUMMYFUNCTION("""COMPUTED_VALUE"""),"III-1-003")</f>
        <v>III-1-003</v>
      </c>
      <c r="B86" t="str">
        <f ca="1">IFERROR(__xludf.DUMMYFUNCTION("""COMPUTED_VALUE"""),"Аводнев")</f>
        <v>Аводнев</v>
      </c>
      <c r="C86" t="str">
        <f ca="1">IFERROR(__xludf.DUMMYFUNCTION("""COMPUTED_VALUE"""),"Алексей")</f>
        <v>Алексей</v>
      </c>
      <c r="D86" t="str">
        <f ca="1">IFERROR(__xludf.DUMMYFUNCTION("""COMPUTED_VALUE"""),"Школа 202")</f>
        <v>Школа 202</v>
      </c>
      <c r="E86" s="5">
        <f ca="1">IFERROR(__xludf.DUMMYFUNCTION("""COMPUTED_VALUE"""),1)</f>
        <v>1</v>
      </c>
      <c r="F86" s="5">
        <f ca="1">IFERROR(__xludf.DUMMYFUNCTION("""COMPUTED_VALUE"""),3)</f>
        <v>3</v>
      </c>
      <c r="G86" s="5">
        <f ca="1">IFERROR(__xludf.DUMMYFUNCTION("""COMPUTED_VALUE"""),3)</f>
        <v>3</v>
      </c>
      <c r="H86" s="5">
        <f ca="1">IFERROR(__xludf.DUMMYFUNCTION("""COMPUTED_VALUE"""),0)</f>
        <v>0</v>
      </c>
      <c r="I86" s="5">
        <f ca="1">IFERROR(__xludf.DUMMYFUNCTION("""COMPUTED_VALUE"""),0)</f>
        <v>0</v>
      </c>
      <c r="J86" s="5">
        <f ca="1">IFERROR(__xludf.DUMMYFUNCTION("""COMPUTED_VALUE"""),4)</f>
        <v>4</v>
      </c>
      <c r="K86" s="5">
        <f ca="1">IFERROR(__xludf.DUMMYFUNCTION("""COMPUTED_VALUE"""),0)</f>
        <v>0</v>
      </c>
      <c r="L86" s="5">
        <f ca="1">IFERROR(__xludf.DUMMYFUNCTION("""COMPUTED_VALUE"""),1)</f>
        <v>1</v>
      </c>
      <c r="M86">
        <f ca="1">IFERROR(__xludf.DUMMYFUNCTION("""COMPUTED_VALUE"""),12)</f>
        <v>12</v>
      </c>
      <c r="N86" s="8" t="str">
        <f ca="1">IFERROR(__xludf.DUMMYFUNCTION("""COMPUTED_VALUE"""),"ПО2")</f>
        <v>ПО2</v>
      </c>
    </row>
    <row r="87" spans="1:14" ht="12.45" hidden="1">
      <c r="A87" t="str">
        <f ca="1">IFERROR(__xludf.DUMMYFUNCTION("""COMPUTED_VALUE"""),"III-1-273")</f>
        <v>III-1-273</v>
      </c>
      <c r="B87" t="str">
        <f ca="1">IFERROR(__xludf.DUMMYFUNCTION("""COMPUTED_VALUE"""),"Кудыма")</f>
        <v>Кудыма</v>
      </c>
      <c r="C87" t="str">
        <f ca="1">IFERROR(__xludf.DUMMYFUNCTION("""COMPUTED_VALUE"""),"Мария")</f>
        <v>Мария</v>
      </c>
      <c r="D87" t="str">
        <f ca="1">IFERROR(__xludf.DUMMYFUNCTION("""COMPUTED_VALUE"""),"Школа 18")</f>
        <v>Школа 18</v>
      </c>
      <c r="E87" s="5">
        <f ca="1">IFERROR(__xludf.DUMMYFUNCTION("""COMPUTED_VALUE"""),2)</f>
        <v>2</v>
      </c>
      <c r="F87" s="5">
        <f ca="1">IFERROR(__xludf.DUMMYFUNCTION("""COMPUTED_VALUE"""),0)</f>
        <v>0</v>
      </c>
      <c r="G87" s="5">
        <f ca="1">IFERROR(__xludf.DUMMYFUNCTION("""COMPUTED_VALUE"""),3)</f>
        <v>3</v>
      </c>
      <c r="H87" s="5">
        <f ca="1">IFERROR(__xludf.DUMMYFUNCTION("""COMPUTED_VALUE"""),2)</f>
        <v>2</v>
      </c>
      <c r="I87" s="5">
        <f ca="1">IFERROR(__xludf.DUMMYFUNCTION("""COMPUTED_VALUE"""),0)</f>
        <v>0</v>
      </c>
      <c r="J87" s="5">
        <f ca="1">IFERROR(__xludf.DUMMYFUNCTION("""COMPUTED_VALUE"""),4)</f>
        <v>4</v>
      </c>
      <c r="K87" s="5">
        <f ca="1">IFERROR(__xludf.DUMMYFUNCTION("""COMPUTED_VALUE"""),0)</f>
        <v>0</v>
      </c>
      <c r="L87" s="5">
        <f ca="1">IFERROR(__xludf.DUMMYFUNCTION("""COMPUTED_VALUE"""),1)</f>
        <v>1</v>
      </c>
      <c r="M87">
        <f ca="1">IFERROR(__xludf.DUMMYFUNCTION("""COMPUTED_VALUE"""),12)</f>
        <v>12</v>
      </c>
      <c r="N87" s="8" t="str">
        <f ca="1">IFERROR(__xludf.DUMMYFUNCTION("""COMPUTED_VALUE"""),"ПО2")</f>
        <v>ПО2</v>
      </c>
    </row>
    <row r="88" spans="1:14" ht="12.45" hidden="1">
      <c r="A88" t="str">
        <f ca="1">IFERROR(__xludf.DUMMYFUNCTION("""COMPUTED_VALUE"""),"V-1-559")</f>
        <v>V-1-559</v>
      </c>
      <c r="B88" t="str">
        <f ca="1">IFERROR(__xludf.DUMMYFUNCTION("""COMPUTED_VALUE"""),"Хабаров")</f>
        <v>Хабаров</v>
      </c>
      <c r="C88" t="str">
        <f ca="1">IFERROR(__xludf.DUMMYFUNCTION("""COMPUTED_VALUE"""),"Григорий")</f>
        <v>Григорий</v>
      </c>
      <c r="D88" t="str">
        <f ca="1">IFERROR(__xludf.DUMMYFUNCTION("""COMPUTED_VALUE"""),"Лицей 488")</f>
        <v>Лицей 488</v>
      </c>
      <c r="E88" s="5">
        <f ca="1">IFERROR(__xludf.DUMMYFUNCTION("""COMPUTED_VALUE"""),2)</f>
        <v>2</v>
      </c>
      <c r="F88" s="5">
        <f ca="1">IFERROR(__xludf.DUMMYFUNCTION("""COMPUTED_VALUE"""),3)</f>
        <v>3</v>
      </c>
      <c r="G88" s="5">
        <f ca="1">IFERROR(__xludf.DUMMYFUNCTION("""COMPUTED_VALUE"""),3)</f>
        <v>3</v>
      </c>
      <c r="H88" s="5">
        <f ca="1">IFERROR(__xludf.DUMMYFUNCTION("""COMPUTED_VALUE"""),0)</f>
        <v>0</v>
      </c>
      <c r="I88" s="5"/>
      <c r="J88" s="5"/>
      <c r="K88" s="5">
        <f ca="1">IFERROR(__xludf.DUMMYFUNCTION("""COMPUTED_VALUE"""),4)</f>
        <v>4</v>
      </c>
      <c r="L88" s="5">
        <f ca="1">IFERROR(__xludf.DUMMYFUNCTION("""COMPUTED_VALUE"""),0)</f>
        <v>0</v>
      </c>
      <c r="M88">
        <f ca="1">IFERROR(__xludf.DUMMYFUNCTION("""COMPUTED_VALUE"""),12)</f>
        <v>12</v>
      </c>
      <c r="N88" s="8" t="str">
        <f ca="1">IFERROR(__xludf.DUMMYFUNCTION("""COMPUTED_VALUE"""),"ПО2")</f>
        <v>ПО2</v>
      </c>
    </row>
    <row r="89" spans="1:14" ht="12.45" hidden="1">
      <c r="A89" t="str">
        <f ca="1">IFERROR(__xludf.DUMMYFUNCTION("""COMPUTED_VALUE"""),"III-1-112")</f>
        <v>III-1-112</v>
      </c>
      <c r="B89" t="str">
        <f ca="1">IFERROR(__xludf.DUMMYFUNCTION("""COMPUTED_VALUE"""),"Выровщиков")</f>
        <v>Выровщиков</v>
      </c>
      <c r="C89" t="str">
        <f ca="1">IFERROR(__xludf.DUMMYFUNCTION("""COMPUTED_VALUE"""),"Никита")</f>
        <v>Никита</v>
      </c>
      <c r="D89" t="str">
        <f ca="1">IFERROR(__xludf.DUMMYFUNCTION("""COMPUTED_VALUE"""),"Гимназия 92")</f>
        <v>Гимназия 92</v>
      </c>
      <c r="E89" s="5">
        <f ca="1">IFERROR(__xludf.DUMMYFUNCTION("""COMPUTED_VALUE"""),0)</f>
        <v>0</v>
      </c>
      <c r="F89" s="5">
        <f ca="1">IFERROR(__xludf.DUMMYFUNCTION("""COMPUTED_VALUE"""),3)</f>
        <v>3</v>
      </c>
      <c r="G89" s="5">
        <f ca="1">IFERROR(__xludf.DUMMYFUNCTION("""COMPUTED_VALUE"""),3)</f>
        <v>3</v>
      </c>
      <c r="H89" s="5"/>
      <c r="I89" s="5"/>
      <c r="J89" s="5"/>
      <c r="K89" s="5">
        <f ca="1">IFERROR(__xludf.DUMMYFUNCTION("""COMPUTED_VALUE"""),4)</f>
        <v>4</v>
      </c>
      <c r="L89" s="5">
        <f ca="1">IFERROR(__xludf.DUMMYFUNCTION("""COMPUTED_VALUE"""),1)</f>
        <v>1</v>
      </c>
      <c r="M89">
        <f ca="1">IFERROR(__xludf.DUMMYFUNCTION("""COMPUTED_VALUE"""),11)</f>
        <v>11</v>
      </c>
      <c r="N89" s="8" t="str">
        <f ca="1">IFERROR(__xludf.DUMMYFUNCTION("""COMPUTED_VALUE"""),"ПО2")</f>
        <v>ПО2</v>
      </c>
    </row>
    <row r="90" spans="1:14" ht="12.45" hidden="1">
      <c r="A90" t="str">
        <f ca="1">IFERROR(__xludf.DUMMYFUNCTION("""COMPUTED_VALUE"""),"V-1-365")</f>
        <v>V-1-365</v>
      </c>
      <c r="B90" t="str">
        <f ca="1">IFERROR(__xludf.DUMMYFUNCTION("""COMPUTED_VALUE"""),"Носова")</f>
        <v>Носова</v>
      </c>
      <c r="C90" t="str">
        <f ca="1">IFERROR(__xludf.DUMMYFUNCTION("""COMPUTED_VALUE"""),"Ксения")</f>
        <v>Ксения</v>
      </c>
      <c r="D90" t="str">
        <f ca="1">IFERROR(__xludf.DUMMYFUNCTION("""COMPUTED_VALUE"""),"Гимназия 92")</f>
        <v>Гимназия 92</v>
      </c>
      <c r="E90" s="5">
        <f ca="1">IFERROR(__xludf.DUMMYFUNCTION("""COMPUTED_VALUE"""),1)</f>
        <v>1</v>
      </c>
      <c r="F90" s="5">
        <f ca="1">IFERROR(__xludf.DUMMYFUNCTION("""COMPUTED_VALUE"""),0)</f>
        <v>0</v>
      </c>
      <c r="G90" s="5">
        <f ca="1">IFERROR(__xludf.DUMMYFUNCTION("""COMPUTED_VALUE"""),0)</f>
        <v>0</v>
      </c>
      <c r="H90" s="5">
        <f ca="1">IFERROR(__xludf.DUMMYFUNCTION("""COMPUTED_VALUE"""),1)</f>
        <v>1</v>
      </c>
      <c r="I90" s="5">
        <f ca="1">IFERROR(__xludf.DUMMYFUNCTION("""COMPUTED_VALUE"""),0)</f>
        <v>0</v>
      </c>
      <c r="J90" s="5">
        <f ca="1">IFERROR(__xludf.DUMMYFUNCTION("""COMPUTED_VALUE"""),4)</f>
        <v>4</v>
      </c>
      <c r="K90" s="5">
        <f ca="1">IFERROR(__xludf.DUMMYFUNCTION("""COMPUTED_VALUE"""),4)</f>
        <v>4</v>
      </c>
      <c r="L90" s="5">
        <f ca="1">IFERROR(__xludf.DUMMYFUNCTION("""COMPUTED_VALUE"""),1)</f>
        <v>1</v>
      </c>
      <c r="M90">
        <f ca="1">IFERROR(__xludf.DUMMYFUNCTION("""COMPUTED_VALUE"""),11)</f>
        <v>11</v>
      </c>
      <c r="N90" s="8" t="str">
        <f ca="1">IFERROR(__xludf.DUMMYFUNCTION("""COMPUTED_VALUE"""),"ПО2")</f>
        <v>ПО2</v>
      </c>
    </row>
    <row r="91" spans="1:14" ht="12.45" hidden="1">
      <c r="A91" t="str">
        <f ca="1">IFERROR(__xludf.DUMMYFUNCTION("""COMPUTED_VALUE"""),"III-1-047")</f>
        <v>III-1-047</v>
      </c>
      <c r="B91" t="str">
        <f ca="1">IFERROR(__xludf.DUMMYFUNCTION("""COMPUTED_VALUE"""),"Барсуков")</f>
        <v>Барсуков</v>
      </c>
      <c r="C91" t="str">
        <f ca="1">IFERROR(__xludf.DUMMYFUNCTION("""COMPUTED_VALUE"""),"Климентий")</f>
        <v>Климентий</v>
      </c>
      <c r="D91" t="str">
        <f ca="1">IFERROR(__xludf.DUMMYFUNCTION("""COMPUTED_VALUE"""),"Школа 655")</f>
        <v>Школа 655</v>
      </c>
      <c r="E91" s="5">
        <f ca="1">IFERROR(__xludf.DUMMYFUNCTION("""COMPUTED_VALUE"""),2)</f>
        <v>2</v>
      </c>
      <c r="F91" s="5">
        <f ca="1">IFERROR(__xludf.DUMMYFUNCTION("""COMPUTED_VALUE"""),0)</f>
        <v>0</v>
      </c>
      <c r="G91" s="5">
        <f ca="1">IFERROR(__xludf.DUMMYFUNCTION("""COMPUTED_VALUE"""),3)</f>
        <v>3</v>
      </c>
      <c r="H91" s="5">
        <f ca="1">IFERROR(__xludf.DUMMYFUNCTION("""COMPUTED_VALUE"""),1)</f>
        <v>1</v>
      </c>
      <c r="I91" s="5">
        <f ca="1">IFERROR(__xludf.DUMMYFUNCTION("""COMPUTED_VALUE"""),0)</f>
        <v>0</v>
      </c>
      <c r="J91" s="5">
        <f ca="1">IFERROR(__xludf.DUMMYFUNCTION("""COMPUTED_VALUE"""),0)</f>
        <v>0</v>
      </c>
      <c r="K91" s="5">
        <f ca="1">IFERROR(__xludf.DUMMYFUNCTION("""COMPUTED_VALUE"""),4)</f>
        <v>4</v>
      </c>
      <c r="L91" s="5">
        <f ca="1">IFERROR(__xludf.DUMMYFUNCTION("""COMPUTED_VALUE"""),1)</f>
        <v>1</v>
      </c>
      <c r="M91">
        <f ca="1">IFERROR(__xludf.DUMMYFUNCTION("""COMPUTED_VALUE"""),11)</f>
        <v>11</v>
      </c>
      <c r="N91" s="8" t="str">
        <f ca="1">IFERROR(__xludf.DUMMYFUNCTION("""COMPUTED_VALUE"""),"ПО2")</f>
        <v>ПО2</v>
      </c>
    </row>
    <row r="92" spans="1:14" ht="12.45" hidden="1">
      <c r="A92" t="str">
        <f ca="1">IFERROR(__xludf.DUMMYFUNCTION("""COMPUTED_VALUE"""),"V-1-356")</f>
        <v>V-1-356</v>
      </c>
      <c r="B92" t="str">
        <f ca="1">IFERROR(__xludf.DUMMYFUNCTION("""COMPUTED_VALUE"""),"Неёлова")</f>
        <v>Неёлова</v>
      </c>
      <c r="C92" t="str">
        <f ca="1">IFERROR(__xludf.DUMMYFUNCTION("""COMPUTED_VALUE"""),"Ульяна")</f>
        <v>Ульяна</v>
      </c>
      <c r="D92" t="str">
        <f ca="1">IFERROR(__xludf.DUMMYFUNCTION("""COMPUTED_VALUE"""),"Школа 246")</f>
        <v>Школа 246</v>
      </c>
      <c r="E92" s="5">
        <f ca="1">IFERROR(__xludf.DUMMYFUNCTION("""COMPUTED_VALUE"""),0)</f>
        <v>0</v>
      </c>
      <c r="F92" s="5">
        <f ca="1">IFERROR(__xludf.DUMMYFUNCTION("""COMPUTED_VALUE"""),3)</f>
        <v>3</v>
      </c>
      <c r="G92" s="5">
        <f ca="1">IFERROR(__xludf.DUMMYFUNCTION("""COMPUTED_VALUE"""),3)</f>
        <v>3</v>
      </c>
      <c r="H92" s="5">
        <f ca="1">IFERROR(__xludf.DUMMYFUNCTION("""COMPUTED_VALUE"""),0)</f>
        <v>0</v>
      </c>
      <c r="I92" s="5">
        <f ca="1">IFERROR(__xludf.DUMMYFUNCTION("""COMPUTED_VALUE"""),0)</f>
        <v>0</v>
      </c>
      <c r="J92" s="5">
        <f ca="1">IFERROR(__xludf.DUMMYFUNCTION("""COMPUTED_VALUE"""),0)</f>
        <v>0</v>
      </c>
      <c r="K92" s="5">
        <f ca="1">IFERROR(__xludf.DUMMYFUNCTION("""COMPUTED_VALUE"""),4)</f>
        <v>4</v>
      </c>
      <c r="L92" s="5">
        <f ca="1">IFERROR(__xludf.DUMMYFUNCTION("""COMPUTED_VALUE"""),1)</f>
        <v>1</v>
      </c>
      <c r="M92">
        <f ca="1">IFERROR(__xludf.DUMMYFUNCTION("""COMPUTED_VALUE"""),11)</f>
        <v>11</v>
      </c>
      <c r="N92" s="8" t="str">
        <f ca="1">IFERROR(__xludf.DUMMYFUNCTION("""COMPUTED_VALUE"""),"ПО2")</f>
        <v>ПО2</v>
      </c>
    </row>
    <row r="93" spans="1:14" ht="12.45" hidden="1">
      <c r="A93" t="str">
        <f ca="1">IFERROR(__xludf.DUMMYFUNCTION("""COMPUTED_VALUE"""),"III-1-061")</f>
        <v>III-1-061</v>
      </c>
      <c r="B93" t="str">
        <f ca="1">IFERROR(__xludf.DUMMYFUNCTION("""COMPUTED_VALUE"""),"Бирюкова")</f>
        <v>Бирюкова</v>
      </c>
      <c r="C93" t="str">
        <f ca="1">IFERROR(__xludf.DUMMYFUNCTION("""COMPUTED_VALUE"""),"Дарья")</f>
        <v>Дарья</v>
      </c>
      <c r="D93" t="str">
        <f ca="1">IFERROR(__xludf.DUMMYFUNCTION("""COMPUTED_VALUE"""),"Школа 71")</f>
        <v>Школа 71</v>
      </c>
      <c r="E93" s="5">
        <f ca="1">IFERROR(__xludf.DUMMYFUNCTION("""COMPUTED_VALUE"""),1)</f>
        <v>1</v>
      </c>
      <c r="F93" s="5">
        <f ca="1">IFERROR(__xludf.DUMMYFUNCTION("""COMPUTED_VALUE"""),0)</f>
        <v>0</v>
      </c>
      <c r="G93" s="5">
        <f ca="1">IFERROR(__xludf.DUMMYFUNCTION("""COMPUTED_VALUE"""),3)</f>
        <v>3</v>
      </c>
      <c r="H93" s="5">
        <f ca="1">IFERROR(__xludf.DUMMYFUNCTION("""COMPUTED_VALUE"""),0)</f>
        <v>0</v>
      </c>
      <c r="I93" s="5">
        <f ca="1">IFERROR(__xludf.DUMMYFUNCTION("""COMPUTED_VALUE"""),2)</f>
        <v>2</v>
      </c>
      <c r="J93" s="5">
        <f ca="1">IFERROR(__xludf.DUMMYFUNCTION("""COMPUTED_VALUE"""),4)</f>
        <v>4</v>
      </c>
      <c r="K93" s="5">
        <f ca="1">IFERROR(__xludf.DUMMYFUNCTION("""COMPUTED_VALUE"""),0)</f>
        <v>0</v>
      </c>
      <c r="L93" s="5">
        <f ca="1">IFERROR(__xludf.DUMMYFUNCTION("""COMPUTED_VALUE"""),1)</f>
        <v>1</v>
      </c>
      <c r="M93">
        <f ca="1">IFERROR(__xludf.DUMMYFUNCTION("""COMPUTED_VALUE"""),11)</f>
        <v>11</v>
      </c>
      <c r="N93" s="8" t="str">
        <f ca="1">IFERROR(__xludf.DUMMYFUNCTION("""COMPUTED_VALUE"""),"ПО2")</f>
        <v>ПО2</v>
      </c>
    </row>
    <row r="94" spans="1:14" ht="12.45" hidden="1">
      <c r="A94" t="str">
        <f ca="1">IFERROR(__xludf.DUMMYFUNCTION("""COMPUTED_VALUE"""),"V-1-564")</f>
        <v>V-1-564</v>
      </c>
      <c r="B94" t="str">
        <f ca="1">IFERROR(__xludf.DUMMYFUNCTION("""COMPUTED_VALUE"""),"Хильман")</f>
        <v>Хильман</v>
      </c>
      <c r="C94" t="str">
        <f ca="1">IFERROR(__xludf.DUMMYFUNCTION("""COMPUTED_VALUE"""),"Кира")</f>
        <v>Кира</v>
      </c>
      <c r="D94" t="str">
        <f ca="1">IFERROR(__xludf.DUMMYFUNCTION("""COMPUTED_VALUE"""),"Гимназия 49")</f>
        <v>Гимназия 49</v>
      </c>
      <c r="E94" s="5">
        <f ca="1">IFERROR(__xludf.DUMMYFUNCTION("""COMPUTED_VALUE"""),1)</f>
        <v>1</v>
      </c>
      <c r="F94" s="5">
        <f ca="1">IFERROR(__xludf.DUMMYFUNCTION("""COMPUTED_VALUE"""),0)</f>
        <v>0</v>
      </c>
      <c r="G94" s="5">
        <f ca="1">IFERROR(__xludf.DUMMYFUNCTION("""COMPUTED_VALUE"""),3)</f>
        <v>3</v>
      </c>
      <c r="H94" s="5">
        <f ca="1">IFERROR(__xludf.DUMMYFUNCTION("""COMPUTED_VALUE"""),1)</f>
        <v>1</v>
      </c>
      <c r="I94" s="5">
        <f ca="1">IFERROR(__xludf.DUMMYFUNCTION("""COMPUTED_VALUE"""),2)</f>
        <v>2</v>
      </c>
      <c r="J94" s="5">
        <f ca="1">IFERROR(__xludf.DUMMYFUNCTION("""COMPUTED_VALUE"""),0)</f>
        <v>0</v>
      </c>
      <c r="K94" s="5">
        <f ca="1">IFERROR(__xludf.DUMMYFUNCTION("""COMPUTED_VALUE"""),4)</f>
        <v>4</v>
      </c>
      <c r="L94" s="5">
        <f ca="1">IFERROR(__xludf.DUMMYFUNCTION("""COMPUTED_VALUE"""),0)</f>
        <v>0</v>
      </c>
      <c r="M94">
        <f ca="1">IFERROR(__xludf.DUMMYFUNCTION("""COMPUTED_VALUE"""),11)</f>
        <v>11</v>
      </c>
      <c r="N94" s="8" t="str">
        <f ca="1">IFERROR(__xludf.DUMMYFUNCTION("""COMPUTED_VALUE"""),"ПО2")</f>
        <v>ПО2</v>
      </c>
    </row>
    <row r="95" spans="1:14" ht="12.45" hidden="1">
      <c r="A95" t="str">
        <f ca="1">IFERROR(__xludf.DUMMYFUNCTION("""COMPUTED_VALUE"""),"V-1-378")</f>
        <v>V-1-378</v>
      </c>
      <c r="B95" t="str">
        <f ca="1">IFERROR(__xludf.DUMMYFUNCTION("""COMPUTED_VALUE"""),"Орлов")</f>
        <v>Орлов</v>
      </c>
      <c r="C95" t="str">
        <f ca="1">IFERROR(__xludf.DUMMYFUNCTION("""COMPUTED_VALUE"""),"Денис")</f>
        <v>Денис</v>
      </c>
      <c r="D95" t="str">
        <f ca="1">IFERROR(__xludf.DUMMYFUNCTION("""COMPUTED_VALUE"""),"Школа 444")</f>
        <v>Школа 444</v>
      </c>
      <c r="E95" s="5">
        <f ca="1">IFERROR(__xludf.DUMMYFUNCTION("""COMPUTED_VALUE"""),2)</f>
        <v>2</v>
      </c>
      <c r="F95" s="5">
        <f ca="1">IFERROR(__xludf.DUMMYFUNCTION("""COMPUTED_VALUE"""),3)</f>
        <v>3</v>
      </c>
      <c r="G95" s="5">
        <f ca="1">IFERROR(__xludf.DUMMYFUNCTION("""COMPUTED_VALUE"""),3)</f>
        <v>3</v>
      </c>
      <c r="H95" s="5">
        <f ca="1">IFERROR(__xludf.DUMMYFUNCTION("""COMPUTED_VALUE"""),0)</f>
        <v>0</v>
      </c>
      <c r="I95" s="5">
        <f ca="1">IFERROR(__xludf.DUMMYFUNCTION("""COMPUTED_VALUE"""),2)</f>
        <v>2</v>
      </c>
      <c r="J95" s="5">
        <f ca="1">IFERROR(__xludf.DUMMYFUNCTION("""COMPUTED_VALUE"""),0)</f>
        <v>0</v>
      </c>
      <c r="K95" s="5">
        <f ca="1">IFERROR(__xludf.DUMMYFUNCTION("""COMPUTED_VALUE"""),0)</f>
        <v>0</v>
      </c>
      <c r="L95" s="5">
        <f ca="1">IFERROR(__xludf.DUMMYFUNCTION("""COMPUTED_VALUE"""),1)</f>
        <v>1</v>
      </c>
      <c r="M95">
        <f ca="1">IFERROR(__xludf.DUMMYFUNCTION("""COMPUTED_VALUE"""),11)</f>
        <v>11</v>
      </c>
      <c r="N95" s="8" t="str">
        <f ca="1">IFERROR(__xludf.DUMMYFUNCTION("""COMPUTED_VALUE"""),"ПО2")</f>
        <v>ПО2</v>
      </c>
    </row>
    <row r="96" spans="1:14" ht="12.45" hidden="1">
      <c r="A96" t="str">
        <f ca="1">IFERROR(__xludf.DUMMYFUNCTION("""COMPUTED_VALUE"""),"III-1-204")</f>
        <v>III-1-204</v>
      </c>
      <c r="B96" t="str">
        <f ca="1">IFERROR(__xludf.DUMMYFUNCTION("""COMPUTED_VALUE"""),"Иванова")</f>
        <v>Иванова</v>
      </c>
      <c r="C96" t="str">
        <f ca="1">IFERROR(__xludf.DUMMYFUNCTION("""COMPUTED_VALUE"""),"Татьяна")</f>
        <v>Татьяна</v>
      </c>
      <c r="D96" t="str">
        <f ca="1">IFERROR(__xludf.DUMMYFUNCTION("""COMPUTED_VALUE"""),"Гимназия 677")</f>
        <v>Гимназия 677</v>
      </c>
      <c r="E96" s="5">
        <f ca="1">IFERROR(__xludf.DUMMYFUNCTION("""COMPUTED_VALUE"""),2)</f>
        <v>2</v>
      </c>
      <c r="F96" s="5">
        <f ca="1">IFERROR(__xludf.DUMMYFUNCTION("""COMPUTED_VALUE"""),3)</f>
        <v>3</v>
      </c>
      <c r="G96" s="5">
        <f ca="1">IFERROR(__xludf.DUMMYFUNCTION("""COMPUTED_VALUE"""),0)</f>
        <v>0</v>
      </c>
      <c r="H96" s="5">
        <f ca="1">IFERROR(__xludf.DUMMYFUNCTION("""COMPUTED_VALUE"""),1)</f>
        <v>1</v>
      </c>
      <c r="I96" s="5">
        <f ca="1">IFERROR(__xludf.DUMMYFUNCTION("""COMPUTED_VALUE"""),0)</f>
        <v>0</v>
      </c>
      <c r="J96" s="5">
        <f ca="1">IFERROR(__xludf.DUMMYFUNCTION("""COMPUTED_VALUE"""),0)</f>
        <v>0</v>
      </c>
      <c r="K96" s="5">
        <f ca="1">IFERROR(__xludf.DUMMYFUNCTION("""COMPUTED_VALUE"""),4)</f>
        <v>4</v>
      </c>
      <c r="L96" s="5">
        <f ca="1">IFERROR(__xludf.DUMMYFUNCTION("""COMPUTED_VALUE"""),1)</f>
        <v>1</v>
      </c>
      <c r="M96">
        <f ca="1">IFERROR(__xludf.DUMMYFUNCTION("""COMPUTED_VALUE"""),11)</f>
        <v>11</v>
      </c>
      <c r="N96" s="8" t="str">
        <f ca="1">IFERROR(__xludf.DUMMYFUNCTION("""COMPUTED_VALUE"""),"ПО2")</f>
        <v>ПО2</v>
      </c>
    </row>
    <row r="97" spans="1:14" ht="12.45" hidden="1">
      <c r="A97" t="str">
        <f ca="1">IFERROR(__xludf.DUMMYFUNCTION("""COMPUTED_VALUE"""),"V-1-546")</f>
        <v>V-1-546</v>
      </c>
      <c r="B97" t="str">
        <f ca="1">IFERROR(__xludf.DUMMYFUNCTION("""COMPUTED_VALUE"""),"Филин")</f>
        <v>Филин</v>
      </c>
      <c r="C97" t="str">
        <f ca="1">IFERROR(__xludf.DUMMYFUNCTION("""COMPUTED_VALUE"""),"Филипп")</f>
        <v>Филипп</v>
      </c>
      <c r="D97" t="str">
        <f ca="1">IFERROR(__xludf.DUMMYFUNCTION("""COMPUTED_VALUE"""),"Школа Лимпик")</f>
        <v>Школа Лимпик</v>
      </c>
      <c r="E97" s="5">
        <f ca="1">IFERROR(__xludf.DUMMYFUNCTION("""COMPUTED_VALUE"""),1)</f>
        <v>1</v>
      </c>
      <c r="F97" s="5">
        <f ca="1">IFERROR(__xludf.DUMMYFUNCTION("""COMPUTED_VALUE"""),3)</f>
        <v>3</v>
      </c>
      <c r="G97" s="5">
        <f ca="1">IFERROR(__xludf.DUMMYFUNCTION("""COMPUTED_VALUE"""),3)</f>
        <v>3</v>
      </c>
      <c r="H97" s="5"/>
      <c r="I97" s="5"/>
      <c r="J97" s="5"/>
      <c r="K97" s="5">
        <f ca="1">IFERROR(__xludf.DUMMYFUNCTION("""COMPUTED_VALUE"""),4)</f>
        <v>4</v>
      </c>
      <c r="L97" s="5">
        <f ca="1">IFERROR(__xludf.DUMMYFUNCTION("""COMPUTED_VALUE"""),0)</f>
        <v>0</v>
      </c>
      <c r="M97">
        <f ca="1">IFERROR(__xludf.DUMMYFUNCTION("""COMPUTED_VALUE"""),11)</f>
        <v>11</v>
      </c>
      <c r="N97" s="8" t="str">
        <f ca="1">IFERROR(__xludf.DUMMYFUNCTION("""COMPUTED_VALUE"""),"ПО2")</f>
        <v>ПО2</v>
      </c>
    </row>
    <row r="98" spans="1:14" ht="12.45" hidden="1">
      <c r="A98" t="str">
        <f ca="1">IFERROR(__xludf.DUMMYFUNCTION("""COMPUTED_VALUE"""),"III-1-045")</f>
        <v>III-1-045</v>
      </c>
      <c r="B98" t="str">
        <f ca="1">IFERROR(__xludf.DUMMYFUNCTION("""COMPUTED_VALUE"""),"Барменков")</f>
        <v>Барменков</v>
      </c>
      <c r="C98" t="str">
        <f ca="1">IFERROR(__xludf.DUMMYFUNCTION("""COMPUTED_VALUE"""),"Дмитрий")</f>
        <v>Дмитрий</v>
      </c>
      <c r="D98" t="str">
        <f ca="1">IFERROR(__xludf.DUMMYFUNCTION("""COMPUTED_VALUE"""),"Лицей 597")</f>
        <v>Лицей 597</v>
      </c>
      <c r="E98" s="5">
        <f ca="1">IFERROR(__xludf.DUMMYFUNCTION("""COMPUTED_VALUE"""),1)</f>
        <v>1</v>
      </c>
      <c r="F98" s="5">
        <f ca="1">IFERROR(__xludf.DUMMYFUNCTION("""COMPUTED_VALUE"""),3)</f>
        <v>3</v>
      </c>
      <c r="G98" s="5">
        <f ca="1">IFERROR(__xludf.DUMMYFUNCTION("""COMPUTED_VALUE"""),3)</f>
        <v>3</v>
      </c>
      <c r="H98" s="5">
        <f ca="1">IFERROR(__xludf.DUMMYFUNCTION("""COMPUTED_VALUE"""),0)</f>
        <v>0</v>
      </c>
      <c r="I98" s="5">
        <f ca="1">IFERROR(__xludf.DUMMYFUNCTION("""COMPUTED_VALUE"""),0)</f>
        <v>0</v>
      </c>
      <c r="J98" s="5">
        <f ca="1">IFERROR(__xludf.DUMMYFUNCTION("""COMPUTED_VALUE"""),4)</f>
        <v>4</v>
      </c>
      <c r="K98" s="5">
        <f ca="1">IFERROR(__xludf.DUMMYFUNCTION("""COMPUTED_VALUE"""),0)</f>
        <v>0</v>
      </c>
      <c r="L98" s="5">
        <f ca="1">IFERROR(__xludf.DUMMYFUNCTION("""COMPUTED_VALUE"""),0)</f>
        <v>0</v>
      </c>
      <c r="M98">
        <f ca="1">IFERROR(__xludf.DUMMYFUNCTION("""COMPUTED_VALUE"""),11)</f>
        <v>11</v>
      </c>
      <c r="N98" s="8" t="str">
        <f ca="1">IFERROR(__xludf.DUMMYFUNCTION("""COMPUTED_VALUE"""),"ПО2")</f>
        <v>ПО2</v>
      </c>
    </row>
    <row r="99" spans="1:14" ht="12.45" hidden="1">
      <c r="A99" t="str">
        <f ca="1">IFERROR(__xludf.DUMMYFUNCTION("""COMPUTED_VALUE"""),"III-1-089")</f>
        <v>III-1-089</v>
      </c>
      <c r="B99" t="str">
        <f ca="1">IFERROR(__xludf.DUMMYFUNCTION("""COMPUTED_VALUE"""),"Васильева")</f>
        <v>Васильева</v>
      </c>
      <c r="C99" t="str">
        <f ca="1">IFERROR(__xludf.DUMMYFUNCTION("""COMPUTED_VALUE"""),"Анна")</f>
        <v>Анна</v>
      </c>
      <c r="D99" t="str">
        <f ca="1">IFERROR(__xludf.DUMMYFUNCTION("""COMPUTED_VALUE"""),"Гимназия 73")</f>
        <v>Гимназия 73</v>
      </c>
      <c r="E99" s="5">
        <f ca="1">IFERROR(__xludf.DUMMYFUNCTION("""COMPUTED_VALUE"""),2)</f>
        <v>2</v>
      </c>
      <c r="F99" s="5">
        <f ca="1">IFERROR(__xludf.DUMMYFUNCTION("""COMPUTED_VALUE"""),3)</f>
        <v>3</v>
      </c>
      <c r="G99" s="5">
        <f ca="1">IFERROR(__xludf.DUMMYFUNCTION("""COMPUTED_VALUE"""),0)</f>
        <v>0</v>
      </c>
      <c r="H99" s="5">
        <f ca="1">IFERROR(__xludf.DUMMYFUNCTION("""COMPUTED_VALUE"""),1)</f>
        <v>1</v>
      </c>
      <c r="I99" s="5">
        <f ca="1">IFERROR(__xludf.DUMMYFUNCTION("""COMPUTED_VALUE"""),0)</f>
        <v>0</v>
      </c>
      <c r="J99" s="5">
        <f ca="1">IFERROR(__xludf.DUMMYFUNCTION("""COMPUTED_VALUE"""),4)</f>
        <v>4</v>
      </c>
      <c r="K99" s="5">
        <f ca="1">IFERROR(__xludf.DUMMYFUNCTION("""COMPUTED_VALUE"""),0)</f>
        <v>0</v>
      </c>
      <c r="L99" s="5">
        <f ca="1">IFERROR(__xludf.DUMMYFUNCTION("""COMPUTED_VALUE"""),1)</f>
        <v>1</v>
      </c>
      <c r="M99">
        <f ca="1">IFERROR(__xludf.DUMMYFUNCTION("""COMPUTED_VALUE"""),11)</f>
        <v>11</v>
      </c>
      <c r="N99" s="8" t="str">
        <f ca="1">IFERROR(__xludf.DUMMYFUNCTION("""COMPUTED_VALUE"""),"ПО2")</f>
        <v>ПО2</v>
      </c>
    </row>
    <row r="100" spans="1:14" ht="12.45" hidden="1">
      <c r="A100" t="str">
        <f ca="1">IFERROR(__xludf.DUMMYFUNCTION("""COMPUTED_VALUE"""),"V-1-446")</f>
        <v>V-1-446</v>
      </c>
      <c r="B100" t="str">
        <f ca="1">IFERROR(__xludf.DUMMYFUNCTION("""COMPUTED_VALUE"""),"Ронжина")</f>
        <v>Ронжина</v>
      </c>
      <c r="C100" t="str">
        <f ca="1">IFERROR(__xludf.DUMMYFUNCTION("""COMPUTED_VALUE"""),"Виктория")</f>
        <v>Виктория</v>
      </c>
      <c r="D100" t="str">
        <f ca="1">IFERROR(__xludf.DUMMYFUNCTION("""COMPUTED_VALUE"""),"Гимназия 652")</f>
        <v>Гимназия 652</v>
      </c>
      <c r="E100" s="5">
        <f ca="1">IFERROR(__xludf.DUMMYFUNCTION("""COMPUTED_VALUE"""),2)</f>
        <v>2</v>
      </c>
      <c r="F100" s="5">
        <f ca="1">IFERROR(__xludf.DUMMYFUNCTION("""COMPUTED_VALUE"""),0)</f>
        <v>0</v>
      </c>
      <c r="G100" s="5">
        <f ca="1">IFERROR(__xludf.DUMMYFUNCTION("""COMPUTED_VALUE"""),3)</f>
        <v>3</v>
      </c>
      <c r="H100" s="5">
        <f ca="1">IFERROR(__xludf.DUMMYFUNCTION("""COMPUTED_VALUE"""),1)</f>
        <v>1</v>
      </c>
      <c r="I100" s="5">
        <f ca="1">IFERROR(__xludf.DUMMYFUNCTION("""COMPUTED_VALUE"""),0)</f>
        <v>0</v>
      </c>
      <c r="J100" s="5">
        <f ca="1">IFERROR(__xludf.DUMMYFUNCTION("""COMPUTED_VALUE"""),4)</f>
        <v>4</v>
      </c>
      <c r="K100" s="5">
        <f ca="1">IFERROR(__xludf.DUMMYFUNCTION("""COMPUTED_VALUE"""),0)</f>
        <v>0</v>
      </c>
      <c r="L100" s="5">
        <f ca="1">IFERROR(__xludf.DUMMYFUNCTION("""COMPUTED_VALUE"""),1)</f>
        <v>1</v>
      </c>
      <c r="M100">
        <f ca="1">IFERROR(__xludf.DUMMYFUNCTION("""COMPUTED_VALUE"""),11)</f>
        <v>11</v>
      </c>
      <c r="N100" s="8" t="str">
        <f ca="1">IFERROR(__xludf.DUMMYFUNCTION("""COMPUTED_VALUE"""),"ПО2")</f>
        <v>ПО2</v>
      </c>
    </row>
    <row r="101" spans="1:14" ht="12.45" hidden="1">
      <c r="A101" t="str">
        <f ca="1">IFERROR(__xludf.DUMMYFUNCTION("""COMPUTED_VALUE"""),"V-1-462")</f>
        <v>V-1-462</v>
      </c>
      <c r="B101" t="str">
        <f ca="1">IFERROR(__xludf.DUMMYFUNCTION("""COMPUTED_VALUE"""),"Семенкович")</f>
        <v>Семенкович</v>
      </c>
      <c r="C101" t="str">
        <f ca="1">IFERROR(__xludf.DUMMYFUNCTION("""COMPUTED_VALUE"""),"Дмитрий")</f>
        <v>Дмитрий</v>
      </c>
      <c r="D101" t="str">
        <f ca="1">IFERROR(__xludf.DUMMYFUNCTION("""COMPUTED_VALUE"""),"Гимназия 652")</f>
        <v>Гимназия 652</v>
      </c>
      <c r="E101" s="5">
        <f ca="1">IFERROR(__xludf.DUMMYFUNCTION("""COMPUTED_VALUE"""),2)</f>
        <v>2</v>
      </c>
      <c r="F101" s="5">
        <f ca="1">IFERROR(__xludf.DUMMYFUNCTION("""COMPUTED_VALUE"""),0)</f>
        <v>0</v>
      </c>
      <c r="G101" s="5">
        <f ca="1">IFERROR(__xludf.DUMMYFUNCTION("""COMPUTED_VALUE"""),3)</f>
        <v>3</v>
      </c>
      <c r="H101" s="5">
        <f ca="1">IFERROR(__xludf.DUMMYFUNCTION("""COMPUTED_VALUE"""),1)</f>
        <v>1</v>
      </c>
      <c r="I101" s="5">
        <f ca="1">IFERROR(__xludf.DUMMYFUNCTION("""COMPUTED_VALUE"""),0)</f>
        <v>0</v>
      </c>
      <c r="J101" s="5">
        <f ca="1">IFERROR(__xludf.DUMMYFUNCTION("""COMPUTED_VALUE"""),0)</f>
        <v>0</v>
      </c>
      <c r="K101" s="5">
        <f ca="1">IFERROR(__xludf.DUMMYFUNCTION("""COMPUTED_VALUE"""),4)</f>
        <v>4</v>
      </c>
      <c r="L101" s="5">
        <f ca="1">IFERROR(__xludf.DUMMYFUNCTION("""COMPUTED_VALUE"""),1)</f>
        <v>1</v>
      </c>
      <c r="M101">
        <f ca="1">IFERROR(__xludf.DUMMYFUNCTION("""COMPUTED_VALUE"""),11)</f>
        <v>11</v>
      </c>
      <c r="N101" s="8" t="str">
        <f ca="1">IFERROR(__xludf.DUMMYFUNCTION("""COMPUTED_VALUE"""),"ПО2")</f>
        <v>ПО2</v>
      </c>
    </row>
    <row r="102" spans="1:14" ht="12.45" hidden="1">
      <c r="A102" t="str">
        <f ca="1">IFERROR(__xludf.DUMMYFUNCTION("""COMPUTED_VALUE"""),"III-1-030")</f>
        <v>III-1-030</v>
      </c>
      <c r="B102" t="str">
        <f ca="1">IFERROR(__xludf.DUMMYFUNCTION("""COMPUTED_VALUE"""),"Архипова")</f>
        <v>Архипова</v>
      </c>
      <c r="C102" t="str">
        <f ca="1">IFERROR(__xludf.DUMMYFUNCTION("""COMPUTED_VALUE"""),"Алёна")</f>
        <v>Алёна</v>
      </c>
      <c r="D102" t="str">
        <f ca="1">IFERROR(__xludf.DUMMYFUNCTION("""COMPUTED_VALUE"""),"Школа Кружок Детский центр ""Пингвины""")</f>
        <v>Школа Кружок Детский центр "Пингвины"</v>
      </c>
      <c r="E102" s="5">
        <f ca="1">IFERROR(__xludf.DUMMYFUNCTION("""COMPUTED_VALUE"""),2)</f>
        <v>2</v>
      </c>
      <c r="F102" s="5"/>
      <c r="G102" s="5">
        <f ca="1">IFERROR(__xludf.DUMMYFUNCTION("""COMPUTED_VALUE"""),3)</f>
        <v>3</v>
      </c>
      <c r="H102" s="5">
        <f ca="1">IFERROR(__xludf.DUMMYFUNCTION("""COMPUTED_VALUE"""),1)</f>
        <v>1</v>
      </c>
      <c r="I102" s="5">
        <f ca="1">IFERROR(__xludf.DUMMYFUNCTION("""COMPUTED_VALUE"""),0)</f>
        <v>0</v>
      </c>
      <c r="J102" s="5">
        <f ca="1">IFERROR(__xludf.DUMMYFUNCTION("""COMPUTED_VALUE"""),4)</f>
        <v>4</v>
      </c>
      <c r="K102" s="5"/>
      <c r="L102" s="5">
        <f ca="1">IFERROR(__xludf.DUMMYFUNCTION("""COMPUTED_VALUE"""),1)</f>
        <v>1</v>
      </c>
      <c r="M102">
        <f ca="1">IFERROR(__xludf.DUMMYFUNCTION("""COMPUTED_VALUE"""),11)</f>
        <v>11</v>
      </c>
      <c r="N102" s="8" t="str">
        <f ca="1">IFERROR(__xludf.DUMMYFUNCTION("""COMPUTED_VALUE"""),"ПО2")</f>
        <v>ПО2</v>
      </c>
    </row>
    <row r="103" spans="1:14" ht="12.45" hidden="1">
      <c r="A103" t="str">
        <f ca="1">IFERROR(__xludf.DUMMYFUNCTION("""COMPUTED_VALUE"""),"III-1-087")</f>
        <v>III-1-087</v>
      </c>
      <c r="B103" t="str">
        <f ca="1">IFERROR(__xludf.DUMMYFUNCTION("""COMPUTED_VALUE"""),"Ван дер Мей ")</f>
        <v xml:space="preserve">Ван дер Мей </v>
      </c>
      <c r="C103" t="str">
        <f ca="1">IFERROR(__xludf.DUMMYFUNCTION("""COMPUTED_VALUE"""),"Марк Андрис Ян")</f>
        <v>Марк Андрис Ян</v>
      </c>
      <c r="D103" t="str">
        <f ca="1">IFERROR(__xludf.DUMMYFUNCTION("""COMPUTED_VALUE"""),"Дошкольник")</f>
        <v>Дошкольник</v>
      </c>
      <c r="E103" s="5">
        <f ca="1">IFERROR(__xludf.DUMMYFUNCTION("""COMPUTED_VALUE"""),0)</f>
        <v>0</v>
      </c>
      <c r="F103" s="5">
        <f ca="1">IFERROR(__xludf.DUMMYFUNCTION("""COMPUTED_VALUE"""),3)</f>
        <v>3</v>
      </c>
      <c r="G103" s="5">
        <f ca="1">IFERROR(__xludf.DUMMYFUNCTION("""COMPUTED_VALUE"""),3)</f>
        <v>3</v>
      </c>
      <c r="H103" s="5">
        <f ca="1">IFERROR(__xludf.DUMMYFUNCTION("""COMPUTED_VALUE"""),0)</f>
        <v>0</v>
      </c>
      <c r="I103" s="5">
        <f ca="1">IFERROR(__xludf.DUMMYFUNCTION("""COMPUTED_VALUE"""),0)</f>
        <v>0</v>
      </c>
      <c r="J103" s="5">
        <f ca="1">IFERROR(__xludf.DUMMYFUNCTION("""COMPUTED_VALUE"""),0)</f>
        <v>0</v>
      </c>
      <c r="K103" s="5">
        <f ca="1">IFERROR(__xludf.DUMMYFUNCTION("""COMPUTED_VALUE"""),4)</f>
        <v>4</v>
      </c>
      <c r="L103" s="5">
        <f ca="1">IFERROR(__xludf.DUMMYFUNCTION("""COMPUTED_VALUE"""),1)</f>
        <v>1</v>
      </c>
      <c r="M103">
        <f ca="1">IFERROR(__xludf.DUMMYFUNCTION("""COMPUTED_VALUE"""),11)</f>
        <v>11</v>
      </c>
      <c r="N103" s="8" t="str">
        <f ca="1">IFERROR(__xludf.DUMMYFUNCTION("""COMPUTED_VALUE"""),"ПО2")</f>
        <v>ПО2</v>
      </c>
    </row>
    <row r="104" spans="1:14" ht="12.45" hidden="1">
      <c r="A104" t="str">
        <f ca="1">IFERROR(__xludf.DUMMYFUNCTION("""COMPUTED_VALUE"""),"III-1-240")</f>
        <v>III-1-240</v>
      </c>
      <c r="B104" t="str">
        <f ca="1">IFERROR(__xludf.DUMMYFUNCTION("""COMPUTED_VALUE"""),"Козлов")</f>
        <v>Козлов</v>
      </c>
      <c r="C104" t="str">
        <f ca="1">IFERROR(__xludf.DUMMYFUNCTION("""COMPUTED_VALUE"""),"Кирилл")</f>
        <v>Кирилл</v>
      </c>
      <c r="D104" t="str">
        <f ca="1">IFERROR(__xludf.DUMMYFUNCTION("""COMPUTED_VALUE"""),"Гимназия Шуваловская школа")</f>
        <v>Гимназия Шуваловская школа</v>
      </c>
      <c r="E104" s="5">
        <f ca="1">IFERROR(__xludf.DUMMYFUNCTION("""COMPUTED_VALUE"""),0)</f>
        <v>0</v>
      </c>
      <c r="F104" s="5">
        <f ca="1">IFERROR(__xludf.DUMMYFUNCTION("""COMPUTED_VALUE"""),3)</f>
        <v>3</v>
      </c>
      <c r="G104" s="5">
        <f ca="1">IFERROR(__xludf.DUMMYFUNCTION("""COMPUTED_VALUE"""),3)</f>
        <v>3</v>
      </c>
      <c r="H104" s="5">
        <f ca="1">IFERROR(__xludf.DUMMYFUNCTION("""COMPUTED_VALUE"""),0)</f>
        <v>0</v>
      </c>
      <c r="I104" s="5">
        <f ca="1">IFERROR(__xludf.DUMMYFUNCTION("""COMPUTED_VALUE"""),0)</f>
        <v>0</v>
      </c>
      <c r="J104" s="5">
        <f ca="1">IFERROR(__xludf.DUMMYFUNCTION("""COMPUTED_VALUE"""),4)</f>
        <v>4</v>
      </c>
      <c r="K104" s="5">
        <f ca="1">IFERROR(__xludf.DUMMYFUNCTION("""COMPUTED_VALUE"""),0)</f>
        <v>0</v>
      </c>
      <c r="L104" s="5">
        <f ca="1">IFERROR(__xludf.DUMMYFUNCTION("""COMPUTED_VALUE"""),1)</f>
        <v>1</v>
      </c>
      <c r="M104">
        <f ca="1">IFERROR(__xludf.DUMMYFUNCTION("""COMPUTED_VALUE"""),11)</f>
        <v>11</v>
      </c>
      <c r="N104" s="8" t="str">
        <f ca="1">IFERROR(__xludf.DUMMYFUNCTION("""COMPUTED_VALUE"""),"ПО2")</f>
        <v>ПО2</v>
      </c>
    </row>
    <row r="105" spans="1:14" ht="12.45" hidden="1">
      <c r="A105" t="str">
        <f ca="1">IFERROR(__xludf.DUMMYFUNCTION("""COMPUTED_VALUE"""),"III-1-266")</f>
        <v>III-1-266</v>
      </c>
      <c r="B105" t="str">
        <f ca="1">IFERROR(__xludf.DUMMYFUNCTION("""COMPUTED_VALUE"""),"Кривоносов")</f>
        <v>Кривоносов</v>
      </c>
      <c r="C105" t="str">
        <f ca="1">IFERROR(__xludf.DUMMYFUNCTION("""COMPUTED_VALUE"""),"Даниил")</f>
        <v>Даниил</v>
      </c>
      <c r="D105" t="str">
        <f ca="1">IFERROR(__xludf.DUMMYFUNCTION("""COMPUTED_VALUE"""),"Школа 655")</f>
        <v>Школа 655</v>
      </c>
      <c r="E105" s="5">
        <f ca="1">IFERROR(__xludf.DUMMYFUNCTION("""COMPUTED_VALUE"""),2)</f>
        <v>2</v>
      </c>
      <c r="F105" s="5">
        <f ca="1">IFERROR(__xludf.DUMMYFUNCTION("""COMPUTED_VALUE"""),0)</f>
        <v>0</v>
      </c>
      <c r="G105" s="5">
        <f ca="1">IFERROR(__xludf.DUMMYFUNCTION("""COMPUTED_VALUE"""),3)</f>
        <v>3</v>
      </c>
      <c r="H105" s="5">
        <f ca="1">IFERROR(__xludf.DUMMYFUNCTION("""COMPUTED_VALUE"""),1)</f>
        <v>1</v>
      </c>
      <c r="I105" s="5">
        <f ca="1">IFERROR(__xludf.DUMMYFUNCTION("""COMPUTED_VALUE"""),0)</f>
        <v>0</v>
      </c>
      <c r="J105" s="5">
        <f ca="1">IFERROR(__xludf.DUMMYFUNCTION("""COMPUTED_VALUE"""),0)</f>
        <v>0</v>
      </c>
      <c r="K105" s="5">
        <f ca="1">IFERROR(__xludf.DUMMYFUNCTION("""COMPUTED_VALUE"""),4)</f>
        <v>4</v>
      </c>
      <c r="L105" s="5">
        <f ca="1">IFERROR(__xludf.DUMMYFUNCTION("""COMPUTED_VALUE"""),1)</f>
        <v>1</v>
      </c>
      <c r="M105">
        <f ca="1">IFERROR(__xludf.DUMMYFUNCTION("""COMPUTED_VALUE"""),11)</f>
        <v>11</v>
      </c>
      <c r="N105" s="8" t="str">
        <f ca="1">IFERROR(__xludf.DUMMYFUNCTION("""COMPUTED_VALUE"""),"ПО2")</f>
        <v>ПО2</v>
      </c>
    </row>
    <row r="106" spans="1:14" ht="12.45" hidden="1">
      <c r="A106" t="str">
        <f ca="1">IFERROR(__xludf.DUMMYFUNCTION("""COMPUTED_VALUE"""),"III-1-094")</f>
        <v>III-1-094</v>
      </c>
      <c r="B106" t="str">
        <f ca="1">IFERROR(__xludf.DUMMYFUNCTION("""COMPUTED_VALUE"""),"Васильева")</f>
        <v>Васильева</v>
      </c>
      <c r="C106" t="str">
        <f ca="1">IFERROR(__xludf.DUMMYFUNCTION("""COMPUTED_VALUE"""),"Анастасия")</f>
        <v>Анастасия</v>
      </c>
      <c r="D106" t="str">
        <f ca="1">IFERROR(__xludf.DUMMYFUNCTION("""COMPUTED_VALUE"""),"Гимназия 248")</f>
        <v>Гимназия 248</v>
      </c>
      <c r="E106" s="5">
        <f ca="1">IFERROR(__xludf.DUMMYFUNCTION("""COMPUTED_VALUE"""),2)</f>
        <v>2</v>
      </c>
      <c r="F106" s="5"/>
      <c r="G106" s="5">
        <f ca="1">IFERROR(__xludf.DUMMYFUNCTION("""COMPUTED_VALUE"""),3)</f>
        <v>3</v>
      </c>
      <c r="H106" s="5"/>
      <c r="I106" s="5"/>
      <c r="J106" s="5"/>
      <c r="K106" s="5">
        <f ca="1">IFERROR(__xludf.DUMMYFUNCTION("""COMPUTED_VALUE"""),4)</f>
        <v>4</v>
      </c>
      <c r="L106" s="5">
        <f ca="1">IFERROR(__xludf.DUMMYFUNCTION("""COMPUTED_VALUE"""),1)</f>
        <v>1</v>
      </c>
      <c r="M106">
        <f ca="1">IFERROR(__xludf.DUMMYFUNCTION("""COMPUTED_VALUE"""),10)</f>
        <v>10</v>
      </c>
      <c r="N106" s="8" t="str">
        <f ca="1">IFERROR(__xludf.DUMMYFUNCTION("""COMPUTED_VALUE"""),"ПО2")</f>
        <v>ПО2</v>
      </c>
    </row>
    <row r="107" spans="1:14" ht="12.45" hidden="1">
      <c r="A107" t="str">
        <f ca="1">IFERROR(__xludf.DUMMYFUNCTION("""COMPUTED_VALUE"""),"III-1-106")</f>
        <v>III-1-106</v>
      </c>
      <c r="B107" t="str">
        <f ca="1">IFERROR(__xludf.DUMMYFUNCTION("""COMPUTED_VALUE"""),"Волков")</f>
        <v>Волков</v>
      </c>
      <c r="C107" t="str">
        <f ca="1">IFERROR(__xludf.DUMMYFUNCTION("""COMPUTED_VALUE"""),"Константин")</f>
        <v>Константин</v>
      </c>
      <c r="D107" t="str">
        <f ca="1">IFERROR(__xludf.DUMMYFUNCTION("""COMPUTED_VALUE"""),"Гимназия 32")</f>
        <v>Гимназия 32</v>
      </c>
      <c r="E107" s="5">
        <f ca="1">IFERROR(__xludf.DUMMYFUNCTION("""COMPUTED_VALUE"""),2)</f>
        <v>2</v>
      </c>
      <c r="F107" s="5">
        <f ca="1">IFERROR(__xludf.DUMMYFUNCTION("""COMPUTED_VALUE"""),3)</f>
        <v>3</v>
      </c>
      <c r="G107" s="5">
        <f ca="1">IFERROR(__xludf.DUMMYFUNCTION("""COMPUTED_VALUE"""),3)</f>
        <v>3</v>
      </c>
      <c r="H107" s="5">
        <f ca="1">IFERROR(__xludf.DUMMYFUNCTION("""COMPUTED_VALUE"""),1)</f>
        <v>1</v>
      </c>
      <c r="I107" s="5">
        <f ca="1">IFERROR(__xludf.DUMMYFUNCTION("""COMPUTED_VALUE"""),0)</f>
        <v>0</v>
      </c>
      <c r="J107" s="5">
        <f ca="1">IFERROR(__xludf.DUMMYFUNCTION("""COMPUTED_VALUE"""),0)</f>
        <v>0</v>
      </c>
      <c r="K107" s="5">
        <f ca="1">IFERROR(__xludf.DUMMYFUNCTION("""COMPUTED_VALUE"""),0)</f>
        <v>0</v>
      </c>
      <c r="L107" s="5">
        <f ca="1">IFERROR(__xludf.DUMMYFUNCTION("""COMPUTED_VALUE"""),1)</f>
        <v>1</v>
      </c>
      <c r="M107">
        <f ca="1">IFERROR(__xludf.DUMMYFUNCTION("""COMPUTED_VALUE"""),10)</f>
        <v>10</v>
      </c>
      <c r="N107" s="8" t="str">
        <f ca="1">IFERROR(__xludf.DUMMYFUNCTION("""COMPUTED_VALUE"""),"ПО2")</f>
        <v>ПО2</v>
      </c>
    </row>
    <row r="108" spans="1:14" ht="12.45">
      <c r="A108" t="str">
        <f ca="1">IFERROR(__xludf.DUMMYFUNCTION("""COMPUTED_VALUE"""),"V-1-502")</f>
        <v>V-1-502</v>
      </c>
      <c r="B108" t="str">
        <f ca="1">IFERROR(__xludf.DUMMYFUNCTION("""COMPUTED_VALUE"""),"Сультимова")</f>
        <v>Сультимова</v>
      </c>
      <c r="C108" t="str">
        <f ca="1">IFERROR(__xludf.DUMMYFUNCTION("""COMPUTED_VALUE"""),"Арина")</f>
        <v>Арина</v>
      </c>
      <c r="D108" t="str">
        <f ca="1">IFERROR(__xludf.DUMMYFUNCTION("""COMPUTED_VALUE"""),"Гимназия Лингвистическая гимназия 3")</f>
        <v>Гимназия Лингвистическая гимназия 3</v>
      </c>
      <c r="E108" s="5">
        <f ca="1">IFERROR(__xludf.DUMMYFUNCTION("""COMPUTED_VALUE"""),2)</f>
        <v>2</v>
      </c>
      <c r="F108" s="5">
        <f ca="1">IFERROR(__xludf.DUMMYFUNCTION("""COMPUTED_VALUE"""),0)</f>
        <v>0</v>
      </c>
      <c r="G108" s="5">
        <f ca="1">IFERROR(__xludf.DUMMYFUNCTION("""COMPUTED_VALUE"""),3)</f>
        <v>3</v>
      </c>
      <c r="H108" s="5">
        <f ca="1">IFERROR(__xludf.DUMMYFUNCTION("""COMPUTED_VALUE"""),1)</f>
        <v>1</v>
      </c>
      <c r="I108" s="5">
        <f ca="1">IFERROR(__xludf.DUMMYFUNCTION("""COMPUTED_VALUE"""),0)</f>
        <v>0</v>
      </c>
      <c r="J108" s="5">
        <f ca="1">IFERROR(__xludf.DUMMYFUNCTION("""COMPUTED_VALUE"""),4)</f>
        <v>4</v>
      </c>
      <c r="K108" s="5">
        <f ca="1">IFERROR(__xludf.DUMMYFUNCTION("""COMPUTED_VALUE"""),0)</f>
        <v>0</v>
      </c>
      <c r="L108" s="5">
        <f ca="1">IFERROR(__xludf.DUMMYFUNCTION("""COMPUTED_VALUE"""),0)</f>
        <v>0</v>
      </c>
      <c r="M108">
        <f ca="1">IFERROR(__xludf.DUMMYFUNCTION("""COMPUTED_VALUE"""),10)</f>
        <v>10</v>
      </c>
      <c r="N108" s="8" t="str">
        <f ca="1">IFERROR(__xludf.DUMMYFUNCTION("""COMPUTED_VALUE"""),"ПО2")</f>
        <v>ПО2</v>
      </c>
    </row>
    <row r="109" spans="1:14" ht="12.45" hidden="1">
      <c r="A109" t="str">
        <f ca="1">IFERROR(__xludf.DUMMYFUNCTION("""COMPUTED_VALUE"""),"III-1-043")</f>
        <v>III-1-043</v>
      </c>
      <c r="B109" t="str">
        <f ca="1">IFERROR(__xludf.DUMMYFUNCTION("""COMPUTED_VALUE"""),"Балабанов")</f>
        <v>Балабанов</v>
      </c>
      <c r="C109" t="str">
        <f ca="1">IFERROR(__xludf.DUMMYFUNCTION("""COMPUTED_VALUE"""),"Макар")</f>
        <v>Макар</v>
      </c>
      <c r="D109" t="str">
        <f ca="1">IFERROR(__xludf.DUMMYFUNCTION("""COMPUTED_VALUE"""),"Лицей 597")</f>
        <v>Лицей 597</v>
      </c>
      <c r="E109" s="5">
        <f ca="1">IFERROR(__xludf.DUMMYFUNCTION("""COMPUTED_VALUE"""),2)</f>
        <v>2</v>
      </c>
      <c r="F109" s="5">
        <f ca="1">IFERROR(__xludf.DUMMYFUNCTION("""COMPUTED_VALUE"""),0)</f>
        <v>0</v>
      </c>
      <c r="G109" s="5">
        <f ca="1">IFERROR(__xludf.DUMMYFUNCTION("""COMPUTED_VALUE"""),3)</f>
        <v>3</v>
      </c>
      <c r="H109" s="5">
        <f ca="1">IFERROR(__xludf.DUMMYFUNCTION("""COMPUTED_VALUE"""),0)</f>
        <v>0</v>
      </c>
      <c r="I109" s="5">
        <f ca="1">IFERROR(__xludf.DUMMYFUNCTION("""COMPUTED_VALUE"""),0)</f>
        <v>0</v>
      </c>
      <c r="J109" s="5">
        <f ca="1">IFERROR(__xludf.DUMMYFUNCTION("""COMPUTED_VALUE"""),4)</f>
        <v>4</v>
      </c>
      <c r="K109" s="5">
        <f ca="1">IFERROR(__xludf.DUMMYFUNCTION("""COMPUTED_VALUE"""),0)</f>
        <v>0</v>
      </c>
      <c r="L109" s="5">
        <f ca="1">IFERROR(__xludf.DUMMYFUNCTION("""COMPUTED_VALUE"""),1)</f>
        <v>1</v>
      </c>
      <c r="M109">
        <f ca="1">IFERROR(__xludf.DUMMYFUNCTION("""COMPUTED_VALUE"""),10)</f>
        <v>10</v>
      </c>
      <c r="N109" s="8" t="str">
        <f ca="1">IFERROR(__xludf.DUMMYFUNCTION("""COMPUTED_VALUE"""),"ПО2")</f>
        <v>ПО2</v>
      </c>
    </row>
    <row r="110" spans="1:14" ht="12.45" hidden="1">
      <c r="A110" t="str">
        <f ca="1">IFERROR(__xludf.DUMMYFUNCTION("""COMPUTED_VALUE"""),"V-1-383")</f>
        <v>V-1-383</v>
      </c>
      <c r="B110" t="str">
        <f ca="1">IFERROR(__xludf.DUMMYFUNCTION("""COMPUTED_VALUE"""),"Осьмухин")</f>
        <v>Осьмухин</v>
      </c>
      <c r="C110" t="str">
        <f ca="1">IFERROR(__xludf.DUMMYFUNCTION("""COMPUTED_VALUE"""),"Тимофей")</f>
        <v>Тимофей</v>
      </c>
      <c r="D110" t="str">
        <f ca="1">IFERROR(__xludf.DUMMYFUNCTION("""COMPUTED_VALUE"""),"Гимназия 92")</f>
        <v>Гимназия 92</v>
      </c>
      <c r="E110" s="5">
        <f ca="1">IFERROR(__xludf.DUMMYFUNCTION("""COMPUTED_VALUE"""),2)</f>
        <v>2</v>
      </c>
      <c r="F110" s="5">
        <f ca="1">IFERROR(__xludf.DUMMYFUNCTION("""COMPUTED_VALUE"""),0)</f>
        <v>0</v>
      </c>
      <c r="G110" s="5">
        <f ca="1">IFERROR(__xludf.DUMMYFUNCTION("""COMPUTED_VALUE"""),3)</f>
        <v>3</v>
      </c>
      <c r="H110" s="5">
        <f ca="1">IFERROR(__xludf.DUMMYFUNCTION("""COMPUTED_VALUE"""),0)</f>
        <v>0</v>
      </c>
      <c r="I110" s="5">
        <f ca="1">IFERROR(__xludf.DUMMYFUNCTION("""COMPUTED_VALUE"""),0)</f>
        <v>0</v>
      </c>
      <c r="J110" s="5">
        <f ca="1">IFERROR(__xludf.DUMMYFUNCTION("""COMPUTED_VALUE"""),4)</f>
        <v>4</v>
      </c>
      <c r="K110" s="5">
        <f ca="1">IFERROR(__xludf.DUMMYFUNCTION("""COMPUTED_VALUE"""),0)</f>
        <v>0</v>
      </c>
      <c r="L110" s="5">
        <f ca="1">IFERROR(__xludf.DUMMYFUNCTION("""COMPUTED_VALUE"""),1)</f>
        <v>1</v>
      </c>
      <c r="M110">
        <f ca="1">IFERROR(__xludf.DUMMYFUNCTION("""COMPUTED_VALUE"""),10)</f>
        <v>10</v>
      </c>
      <c r="N110" s="8" t="str">
        <f ca="1">IFERROR(__xludf.DUMMYFUNCTION("""COMPUTED_VALUE"""),"ПО2")</f>
        <v>ПО2</v>
      </c>
    </row>
    <row r="111" spans="1:14" ht="12.45" hidden="1">
      <c r="A111" t="str">
        <f ca="1">IFERROR(__xludf.DUMMYFUNCTION("""COMPUTED_VALUE"""),"III-1-098")</f>
        <v>III-1-098</v>
      </c>
      <c r="B111" t="str">
        <f ca="1">IFERROR(__xludf.DUMMYFUNCTION("""COMPUTED_VALUE"""),"Верба")</f>
        <v>Верба</v>
      </c>
      <c r="C111" t="str">
        <f ca="1">IFERROR(__xludf.DUMMYFUNCTION("""COMPUTED_VALUE"""),"Мария")</f>
        <v>Мария</v>
      </c>
      <c r="D111" t="str">
        <f ca="1">IFERROR(__xludf.DUMMYFUNCTION("""COMPUTED_VALUE"""),"Гимназия 271")</f>
        <v>Гимназия 271</v>
      </c>
      <c r="E111" s="5">
        <f ca="1">IFERROR(__xludf.DUMMYFUNCTION("""COMPUTED_VALUE"""),2)</f>
        <v>2</v>
      </c>
      <c r="F111" s="5">
        <f ca="1">IFERROR(__xludf.DUMMYFUNCTION("""COMPUTED_VALUE"""),3)</f>
        <v>3</v>
      </c>
      <c r="G111" s="5">
        <f ca="1">IFERROR(__xludf.DUMMYFUNCTION("""COMPUTED_VALUE"""),3)</f>
        <v>3</v>
      </c>
      <c r="H111" s="5">
        <f ca="1">IFERROR(__xludf.DUMMYFUNCTION("""COMPUTED_VALUE"""),1)</f>
        <v>1</v>
      </c>
      <c r="I111" s="5">
        <f ca="1">IFERROR(__xludf.DUMMYFUNCTION("""COMPUTED_VALUE"""),0)</f>
        <v>0</v>
      </c>
      <c r="J111" s="5"/>
      <c r="K111" s="5"/>
      <c r="L111" s="5">
        <f ca="1">IFERROR(__xludf.DUMMYFUNCTION("""COMPUTED_VALUE"""),1)</f>
        <v>1</v>
      </c>
      <c r="M111">
        <f ca="1">IFERROR(__xludf.DUMMYFUNCTION("""COMPUTED_VALUE"""),10)</f>
        <v>10</v>
      </c>
      <c r="N111" s="8" t="str">
        <f ca="1">IFERROR(__xludf.DUMMYFUNCTION("""COMPUTED_VALUE"""),"ПО2")</f>
        <v>ПО2</v>
      </c>
    </row>
    <row r="112" spans="1:14" ht="12.45" hidden="1">
      <c r="A112" t="str">
        <f ca="1">IFERROR(__xludf.DUMMYFUNCTION("""COMPUTED_VALUE"""),"III-1-167")</f>
        <v>III-1-167</v>
      </c>
      <c r="B112" t="str">
        <f ca="1">IFERROR(__xludf.DUMMYFUNCTION("""COMPUTED_VALUE"""),"Дружинин")</f>
        <v>Дружинин</v>
      </c>
      <c r="C112" t="str">
        <f ca="1">IFERROR(__xludf.DUMMYFUNCTION("""COMPUTED_VALUE"""),"Емельян")</f>
        <v>Емельян</v>
      </c>
      <c r="D112" t="str">
        <f ca="1">IFERROR(__xludf.DUMMYFUNCTION("""COMPUTED_VALUE"""),"Школа 456")</f>
        <v>Школа 456</v>
      </c>
      <c r="E112" s="5">
        <f ca="1">IFERROR(__xludf.DUMMYFUNCTION("""COMPUTED_VALUE"""),1)</f>
        <v>1</v>
      </c>
      <c r="F112" s="5">
        <f ca="1">IFERROR(__xludf.DUMMYFUNCTION("""COMPUTED_VALUE"""),0)</f>
        <v>0</v>
      </c>
      <c r="G112" s="5">
        <f ca="1">IFERROR(__xludf.DUMMYFUNCTION("""COMPUTED_VALUE"""),0)</f>
        <v>0</v>
      </c>
      <c r="H112" s="5">
        <f ca="1">IFERROR(__xludf.DUMMYFUNCTION("""COMPUTED_VALUE"""),0)</f>
        <v>0</v>
      </c>
      <c r="I112" s="5">
        <f ca="1">IFERROR(__xludf.DUMMYFUNCTION("""COMPUTED_VALUE"""),0)</f>
        <v>0</v>
      </c>
      <c r="J112" s="5">
        <f ca="1">IFERROR(__xludf.DUMMYFUNCTION("""COMPUTED_VALUE"""),4)</f>
        <v>4</v>
      </c>
      <c r="K112" s="5">
        <f ca="1">IFERROR(__xludf.DUMMYFUNCTION("""COMPUTED_VALUE"""),4)</f>
        <v>4</v>
      </c>
      <c r="L112" s="5">
        <f ca="1">IFERROR(__xludf.DUMMYFUNCTION("""COMPUTED_VALUE"""),1)</f>
        <v>1</v>
      </c>
      <c r="M112">
        <f ca="1">IFERROR(__xludf.DUMMYFUNCTION("""COMPUTED_VALUE"""),10)</f>
        <v>10</v>
      </c>
      <c r="N112" s="8" t="str">
        <f ca="1">IFERROR(__xludf.DUMMYFUNCTION("""COMPUTED_VALUE"""),"ПО2")</f>
        <v>ПО2</v>
      </c>
    </row>
    <row r="113" spans="1:14" ht="12.45" hidden="1">
      <c r="A113" t="str">
        <f ca="1">IFERROR(__xludf.DUMMYFUNCTION("""COMPUTED_VALUE"""),"V-1-428")</f>
        <v>V-1-428</v>
      </c>
      <c r="B113" t="str">
        <f ca="1">IFERROR(__xludf.DUMMYFUNCTION("""COMPUTED_VALUE"""),"Пшеничных")</f>
        <v>Пшеничных</v>
      </c>
      <c r="C113" t="str">
        <f ca="1">IFERROR(__xludf.DUMMYFUNCTION("""COMPUTED_VALUE"""),"Полина")</f>
        <v>Полина</v>
      </c>
      <c r="D113" t="str">
        <f ca="1">IFERROR(__xludf.DUMMYFUNCTION("""COMPUTED_VALUE"""),"Лицей 9")</f>
        <v>Лицей 9</v>
      </c>
      <c r="E113" s="5">
        <f ca="1">IFERROR(__xludf.DUMMYFUNCTION("""COMPUTED_VALUE"""),1)</f>
        <v>1</v>
      </c>
      <c r="F113" s="5">
        <f ca="1">IFERROR(__xludf.DUMMYFUNCTION("""COMPUTED_VALUE"""),0)</f>
        <v>0</v>
      </c>
      <c r="G113" s="5">
        <f ca="1">IFERROR(__xludf.DUMMYFUNCTION("""COMPUTED_VALUE"""),0)</f>
        <v>0</v>
      </c>
      <c r="H113" s="5">
        <f ca="1">IFERROR(__xludf.DUMMYFUNCTION("""COMPUTED_VALUE"""),0)</f>
        <v>0</v>
      </c>
      <c r="I113" s="5">
        <f ca="1">IFERROR(__xludf.DUMMYFUNCTION("""COMPUTED_VALUE"""),0)</f>
        <v>0</v>
      </c>
      <c r="J113" s="5">
        <f ca="1">IFERROR(__xludf.DUMMYFUNCTION("""COMPUTED_VALUE"""),4)</f>
        <v>4</v>
      </c>
      <c r="K113" s="5">
        <f ca="1">IFERROR(__xludf.DUMMYFUNCTION("""COMPUTED_VALUE"""),4)</f>
        <v>4</v>
      </c>
      <c r="L113" s="5">
        <f ca="1">IFERROR(__xludf.DUMMYFUNCTION("""COMPUTED_VALUE"""),1)</f>
        <v>1</v>
      </c>
      <c r="M113">
        <f ca="1">IFERROR(__xludf.DUMMYFUNCTION("""COMPUTED_VALUE"""),10)</f>
        <v>10</v>
      </c>
      <c r="N113" s="8" t="str">
        <f ca="1">IFERROR(__xludf.DUMMYFUNCTION("""COMPUTED_VALUE"""),"ПО2")</f>
        <v>ПО2</v>
      </c>
    </row>
    <row r="114" spans="1:14" ht="12.45" hidden="1">
      <c r="A114" t="str">
        <f ca="1">IFERROR(__xludf.DUMMYFUNCTION("""COMPUTED_VALUE"""),"V-1-406")</f>
        <v>V-1-406</v>
      </c>
      <c r="B114" t="str">
        <f ca="1">IFERROR(__xludf.DUMMYFUNCTION("""COMPUTED_VALUE"""),"Пнев")</f>
        <v>Пнев</v>
      </c>
      <c r="C114" t="str">
        <f ca="1">IFERROR(__xludf.DUMMYFUNCTION("""COMPUTED_VALUE"""),"Алексей")</f>
        <v>Алексей</v>
      </c>
      <c r="D114" t="str">
        <f ca="1">IFERROR(__xludf.DUMMYFUNCTION("""COMPUTED_VALUE"""),"Школа 246")</f>
        <v>Школа 246</v>
      </c>
      <c r="E114" s="5">
        <f ca="1">IFERROR(__xludf.DUMMYFUNCTION("""COMPUTED_VALUE"""),2)</f>
        <v>2</v>
      </c>
      <c r="F114" s="5">
        <f ca="1">IFERROR(__xludf.DUMMYFUNCTION("""COMPUTED_VALUE"""),3)</f>
        <v>3</v>
      </c>
      <c r="G114" s="5">
        <f ca="1">IFERROR(__xludf.DUMMYFUNCTION("""COMPUTED_VALUE"""),3)</f>
        <v>3</v>
      </c>
      <c r="H114" s="5">
        <f ca="1">IFERROR(__xludf.DUMMYFUNCTION("""COMPUTED_VALUE"""),0)</f>
        <v>0</v>
      </c>
      <c r="I114" s="5">
        <f ca="1">IFERROR(__xludf.DUMMYFUNCTION("""COMPUTED_VALUE"""),0)</f>
        <v>0</v>
      </c>
      <c r="J114" s="5">
        <f ca="1">IFERROR(__xludf.DUMMYFUNCTION("""COMPUTED_VALUE"""),1)</f>
        <v>1</v>
      </c>
      <c r="K114" s="5">
        <f ca="1">IFERROR(__xludf.DUMMYFUNCTION("""COMPUTED_VALUE"""),0)</f>
        <v>0</v>
      </c>
      <c r="L114" s="5">
        <f ca="1">IFERROR(__xludf.DUMMYFUNCTION("""COMPUTED_VALUE"""),1)</f>
        <v>1</v>
      </c>
      <c r="M114">
        <f ca="1">IFERROR(__xludf.DUMMYFUNCTION("""COMPUTED_VALUE"""),10)</f>
        <v>10</v>
      </c>
      <c r="N114" s="8" t="str">
        <f ca="1">IFERROR(__xludf.DUMMYFUNCTION("""COMPUTED_VALUE"""),"ПО2")</f>
        <v>ПО2</v>
      </c>
    </row>
    <row r="115" spans="1:14" ht="12.45" hidden="1">
      <c r="A115" t="str">
        <f ca="1">IFERROR(__xludf.DUMMYFUNCTION("""COMPUTED_VALUE"""),"III-1-183")</f>
        <v>III-1-183</v>
      </c>
      <c r="B115" t="str">
        <f ca="1">IFERROR(__xludf.DUMMYFUNCTION("""COMPUTED_VALUE"""),"Забелкина")</f>
        <v>Забелкина</v>
      </c>
      <c r="C115" t="str">
        <f ca="1">IFERROR(__xludf.DUMMYFUNCTION("""COMPUTED_VALUE"""),"Валерия")</f>
        <v>Валерия</v>
      </c>
      <c r="D115" t="str">
        <f ca="1">IFERROR(__xludf.DUMMYFUNCTION("""COMPUTED_VALUE"""),"Гимназия 343")</f>
        <v>Гимназия 343</v>
      </c>
      <c r="E115" s="5">
        <f ca="1">IFERROR(__xludf.DUMMYFUNCTION("""COMPUTED_VALUE"""),2)</f>
        <v>2</v>
      </c>
      <c r="F115" s="5">
        <f ca="1">IFERROR(__xludf.DUMMYFUNCTION("""COMPUTED_VALUE"""),3)</f>
        <v>3</v>
      </c>
      <c r="G115" s="5">
        <f ca="1">IFERROR(__xludf.DUMMYFUNCTION("""COMPUTED_VALUE"""),3)</f>
        <v>3</v>
      </c>
      <c r="H115" s="5">
        <f ca="1">IFERROR(__xludf.DUMMYFUNCTION("""COMPUTED_VALUE"""),0)</f>
        <v>0</v>
      </c>
      <c r="I115" s="5">
        <f ca="1">IFERROR(__xludf.DUMMYFUNCTION("""COMPUTED_VALUE"""),0)</f>
        <v>0</v>
      </c>
      <c r="J115" s="5">
        <f ca="1">IFERROR(__xludf.DUMMYFUNCTION("""COMPUTED_VALUE"""),1)</f>
        <v>1</v>
      </c>
      <c r="K115" s="5">
        <f ca="1">IFERROR(__xludf.DUMMYFUNCTION("""COMPUTED_VALUE"""),0)</f>
        <v>0</v>
      </c>
      <c r="L115" s="5">
        <f ca="1">IFERROR(__xludf.DUMMYFUNCTION("""COMPUTED_VALUE"""),1)</f>
        <v>1</v>
      </c>
      <c r="M115">
        <f ca="1">IFERROR(__xludf.DUMMYFUNCTION("""COMPUTED_VALUE"""),10)</f>
        <v>10</v>
      </c>
      <c r="N115" s="8" t="str">
        <f ca="1">IFERROR(__xludf.DUMMYFUNCTION("""COMPUTED_VALUE"""),"ПО2")</f>
        <v>ПО2</v>
      </c>
    </row>
    <row r="116" spans="1:14" ht="12.45" hidden="1">
      <c r="A116" t="str">
        <f ca="1">IFERROR(__xludf.DUMMYFUNCTION("""COMPUTED_VALUE"""),"V-1-314")</f>
        <v>V-1-314</v>
      </c>
      <c r="B116" t="str">
        <f ca="1">IFERROR(__xludf.DUMMYFUNCTION("""COMPUTED_VALUE"""),"Масальцев")</f>
        <v>Масальцев</v>
      </c>
      <c r="C116" t="str">
        <f ca="1">IFERROR(__xludf.DUMMYFUNCTION("""COMPUTED_VALUE"""),"Максим")</f>
        <v>Максим</v>
      </c>
      <c r="D116" t="str">
        <f ca="1">IFERROR(__xludf.DUMMYFUNCTION("""COMPUTED_VALUE"""),"Школа 574")</f>
        <v>Школа 574</v>
      </c>
      <c r="E116" s="5">
        <f ca="1">IFERROR(__xludf.DUMMYFUNCTION("""COMPUTED_VALUE"""),2)</f>
        <v>2</v>
      </c>
      <c r="F116" s="5">
        <f ca="1">IFERROR(__xludf.DUMMYFUNCTION("""COMPUTED_VALUE"""),3)</f>
        <v>3</v>
      </c>
      <c r="G116" s="5"/>
      <c r="H116" s="5">
        <f ca="1">IFERROR(__xludf.DUMMYFUNCTION("""COMPUTED_VALUE"""),0)</f>
        <v>0</v>
      </c>
      <c r="I116" s="5">
        <f ca="1">IFERROR(__xludf.DUMMYFUNCTION("""COMPUTED_VALUE"""),0)</f>
        <v>0</v>
      </c>
      <c r="J116" s="5">
        <f ca="1">IFERROR(__xludf.DUMMYFUNCTION("""COMPUTED_VALUE"""),0)</f>
        <v>0</v>
      </c>
      <c r="K116" s="5">
        <f ca="1">IFERROR(__xludf.DUMMYFUNCTION("""COMPUTED_VALUE"""),4)</f>
        <v>4</v>
      </c>
      <c r="L116" s="5">
        <f ca="1">IFERROR(__xludf.DUMMYFUNCTION("""COMPUTED_VALUE"""),1)</f>
        <v>1</v>
      </c>
      <c r="M116">
        <f ca="1">IFERROR(__xludf.DUMMYFUNCTION("""COMPUTED_VALUE"""),10)</f>
        <v>10</v>
      </c>
      <c r="N116" s="8" t="str">
        <f ca="1">IFERROR(__xludf.DUMMYFUNCTION("""COMPUTED_VALUE"""),"ПО2")</f>
        <v>ПО2</v>
      </c>
    </row>
    <row r="117" spans="1:14" ht="12.45" hidden="1">
      <c r="A117" t="str">
        <f ca="1">IFERROR(__xludf.DUMMYFUNCTION("""COMPUTED_VALUE"""),"III-1-115")</f>
        <v>III-1-115</v>
      </c>
      <c r="B117" t="str">
        <f ca="1">IFERROR(__xludf.DUMMYFUNCTION("""COMPUTED_VALUE"""),"Гагаринский")</f>
        <v>Гагаринский</v>
      </c>
      <c r="C117" t="str">
        <f ca="1">IFERROR(__xludf.DUMMYFUNCTION("""COMPUTED_VALUE"""),"Артём")</f>
        <v>Артём</v>
      </c>
      <c r="D117" t="str">
        <f ca="1">IFERROR(__xludf.DUMMYFUNCTION("""COMPUTED_VALUE"""),"Лицей 144")</f>
        <v>Лицей 144</v>
      </c>
      <c r="E117" s="5">
        <f ca="1">IFERROR(__xludf.DUMMYFUNCTION("""COMPUTED_VALUE"""),2)</f>
        <v>2</v>
      </c>
      <c r="F117" s="5">
        <f ca="1">IFERROR(__xludf.DUMMYFUNCTION("""COMPUTED_VALUE"""),0)</f>
        <v>0</v>
      </c>
      <c r="G117" s="5">
        <f ca="1">IFERROR(__xludf.DUMMYFUNCTION("""COMPUTED_VALUE"""),3)</f>
        <v>3</v>
      </c>
      <c r="H117" s="5">
        <f ca="1">IFERROR(__xludf.DUMMYFUNCTION("""COMPUTED_VALUE"""),0)</f>
        <v>0</v>
      </c>
      <c r="I117" s="5">
        <f ca="1">IFERROR(__xludf.DUMMYFUNCTION("""COMPUTED_VALUE"""),0)</f>
        <v>0</v>
      </c>
      <c r="J117" s="5">
        <f ca="1">IFERROR(__xludf.DUMMYFUNCTION("""COMPUTED_VALUE"""),0)</f>
        <v>0</v>
      </c>
      <c r="K117" s="5">
        <f ca="1">IFERROR(__xludf.DUMMYFUNCTION("""COMPUTED_VALUE"""),4)</f>
        <v>4</v>
      </c>
      <c r="L117" s="5">
        <f ca="1">IFERROR(__xludf.DUMMYFUNCTION("""COMPUTED_VALUE"""),1)</f>
        <v>1</v>
      </c>
      <c r="M117">
        <f ca="1">IFERROR(__xludf.DUMMYFUNCTION("""COMPUTED_VALUE"""),10)</f>
        <v>10</v>
      </c>
      <c r="N117" s="8" t="str">
        <f ca="1">IFERROR(__xludf.DUMMYFUNCTION("""COMPUTED_VALUE"""),"ПО2")</f>
        <v>ПО2</v>
      </c>
    </row>
    <row r="118" spans="1:14" ht="12.45" hidden="1">
      <c r="A118" t="str">
        <f ca="1">IFERROR(__xludf.DUMMYFUNCTION("""COMPUTED_VALUE"""),"V-1-360")</f>
        <v>V-1-360</v>
      </c>
      <c r="B118" t="str">
        <f ca="1">IFERROR(__xludf.DUMMYFUNCTION("""COMPUTED_VALUE"""),"Никулин")</f>
        <v>Никулин</v>
      </c>
      <c r="C118" t="str">
        <f ca="1">IFERROR(__xludf.DUMMYFUNCTION("""COMPUTED_VALUE"""),"Александр")</f>
        <v>Александр</v>
      </c>
      <c r="D118" t="str">
        <f ca="1">IFERROR(__xludf.DUMMYFUNCTION("""COMPUTED_VALUE"""),"Школа МОУ ""Бугровская средняя общеобразовательная школа""")</f>
        <v>Школа МОУ "Бугровская средняя общеобразовательная школа"</v>
      </c>
      <c r="E118" s="5">
        <f ca="1">IFERROR(__xludf.DUMMYFUNCTION("""COMPUTED_VALUE"""),2)</f>
        <v>2</v>
      </c>
      <c r="F118" s="5">
        <f ca="1">IFERROR(__xludf.DUMMYFUNCTION("""COMPUTED_VALUE"""),0)</f>
        <v>0</v>
      </c>
      <c r="G118" s="5">
        <f ca="1">IFERROR(__xludf.DUMMYFUNCTION("""COMPUTED_VALUE"""),3)</f>
        <v>3</v>
      </c>
      <c r="H118" s="5">
        <f ca="1">IFERROR(__xludf.DUMMYFUNCTION("""COMPUTED_VALUE"""),0)</f>
        <v>0</v>
      </c>
      <c r="I118" s="5">
        <f ca="1">IFERROR(__xludf.DUMMYFUNCTION("""COMPUTED_VALUE"""),0)</f>
        <v>0</v>
      </c>
      <c r="J118" s="5">
        <f ca="1">IFERROR(__xludf.DUMMYFUNCTION("""COMPUTED_VALUE"""),0)</f>
        <v>0</v>
      </c>
      <c r="K118" s="5">
        <f ca="1">IFERROR(__xludf.DUMMYFUNCTION("""COMPUTED_VALUE"""),4)</f>
        <v>4</v>
      </c>
      <c r="L118" s="5">
        <f ca="1">IFERROR(__xludf.DUMMYFUNCTION("""COMPUTED_VALUE"""),1)</f>
        <v>1</v>
      </c>
      <c r="M118">
        <f ca="1">IFERROR(__xludf.DUMMYFUNCTION("""COMPUTED_VALUE"""),10)</f>
        <v>10</v>
      </c>
      <c r="N118" s="8" t="str">
        <f ca="1">IFERROR(__xludf.DUMMYFUNCTION("""COMPUTED_VALUE"""),"ПО2")</f>
        <v>ПО2</v>
      </c>
    </row>
    <row r="119" spans="1:14" ht="12.45" hidden="1">
      <c r="A119" t="str">
        <f ca="1">IFERROR(__xludf.DUMMYFUNCTION("""COMPUTED_VALUE"""),"III-1-149")</f>
        <v>III-1-149</v>
      </c>
      <c r="B119" t="str">
        <f ca="1">IFERROR(__xludf.DUMMYFUNCTION("""COMPUTED_VALUE"""),"Гусева")</f>
        <v>Гусева</v>
      </c>
      <c r="C119" t="str">
        <f ca="1">IFERROR(__xludf.DUMMYFUNCTION("""COMPUTED_VALUE"""),"Виктория")</f>
        <v>Виктория</v>
      </c>
      <c r="D119" t="str">
        <f ca="1">IFERROR(__xludf.DUMMYFUNCTION("""COMPUTED_VALUE"""),"Школа 512")</f>
        <v>Школа 512</v>
      </c>
      <c r="E119" s="5">
        <f ca="1">IFERROR(__xludf.DUMMYFUNCTION("""COMPUTED_VALUE"""),2)</f>
        <v>2</v>
      </c>
      <c r="F119" s="5">
        <f ca="1">IFERROR(__xludf.DUMMYFUNCTION("""COMPUTED_VALUE"""),3)</f>
        <v>3</v>
      </c>
      <c r="G119" s="5">
        <f ca="1">IFERROR(__xludf.DUMMYFUNCTION("""COMPUTED_VALUE"""),0)</f>
        <v>0</v>
      </c>
      <c r="H119" s="5">
        <f ca="1">IFERROR(__xludf.DUMMYFUNCTION("""COMPUTED_VALUE"""),0)</f>
        <v>0</v>
      </c>
      <c r="I119" s="5">
        <f ca="1">IFERROR(__xludf.DUMMYFUNCTION("""COMPUTED_VALUE"""),0)</f>
        <v>0</v>
      </c>
      <c r="J119" s="5">
        <f ca="1">IFERROR(__xludf.DUMMYFUNCTION("""COMPUTED_VALUE"""),4)</f>
        <v>4</v>
      </c>
      <c r="K119" s="5">
        <f ca="1">IFERROR(__xludf.DUMMYFUNCTION("""COMPUTED_VALUE"""),0)</f>
        <v>0</v>
      </c>
      <c r="L119" s="5">
        <f ca="1">IFERROR(__xludf.DUMMYFUNCTION("""COMPUTED_VALUE"""),1)</f>
        <v>1</v>
      </c>
      <c r="M119">
        <f ca="1">IFERROR(__xludf.DUMMYFUNCTION("""COMPUTED_VALUE"""),10)</f>
        <v>10</v>
      </c>
      <c r="N119" s="8" t="str">
        <f ca="1">IFERROR(__xludf.DUMMYFUNCTION("""COMPUTED_VALUE"""),"ПО2")</f>
        <v>ПО2</v>
      </c>
    </row>
    <row r="120" spans="1:14" ht="12.45" hidden="1">
      <c r="A120" t="str">
        <f ca="1">IFERROR(__xludf.DUMMYFUNCTION("""COMPUTED_VALUE"""),"III-1-275")</f>
        <v>III-1-275</v>
      </c>
      <c r="B120" t="str">
        <f ca="1">IFERROR(__xludf.DUMMYFUNCTION("""COMPUTED_VALUE"""),"Кузнецов")</f>
        <v>Кузнецов</v>
      </c>
      <c r="C120" t="str">
        <f ca="1">IFERROR(__xludf.DUMMYFUNCTION("""COMPUTED_VALUE"""),"Кирилл")</f>
        <v>Кирилл</v>
      </c>
      <c r="D120" t="str">
        <f ca="1">IFERROR(__xludf.DUMMYFUNCTION("""COMPUTED_VALUE"""),"Гимназия 642")</f>
        <v>Гимназия 642</v>
      </c>
      <c r="E120" s="5">
        <f ca="1">IFERROR(__xludf.DUMMYFUNCTION("""COMPUTED_VALUE"""),2)</f>
        <v>2</v>
      </c>
      <c r="F120" s="5">
        <f ca="1">IFERROR(__xludf.DUMMYFUNCTION("""COMPUTED_VALUE"""),0)</f>
        <v>0</v>
      </c>
      <c r="G120" s="5">
        <f ca="1">IFERROR(__xludf.DUMMYFUNCTION("""COMPUTED_VALUE"""),3)</f>
        <v>3</v>
      </c>
      <c r="H120" s="5">
        <f ca="1">IFERROR(__xludf.DUMMYFUNCTION("""COMPUTED_VALUE"""),0)</f>
        <v>0</v>
      </c>
      <c r="I120" s="5">
        <f ca="1">IFERROR(__xludf.DUMMYFUNCTION("""COMPUTED_VALUE"""),0)</f>
        <v>0</v>
      </c>
      <c r="J120" s="5">
        <f ca="1">IFERROR(__xludf.DUMMYFUNCTION("""COMPUTED_VALUE"""),4)</f>
        <v>4</v>
      </c>
      <c r="K120" s="5">
        <f ca="1">IFERROR(__xludf.DUMMYFUNCTION("""COMPUTED_VALUE"""),0)</f>
        <v>0</v>
      </c>
      <c r="L120" s="5">
        <f ca="1">IFERROR(__xludf.DUMMYFUNCTION("""COMPUTED_VALUE"""),1)</f>
        <v>1</v>
      </c>
      <c r="M120">
        <f ca="1">IFERROR(__xludf.DUMMYFUNCTION("""COMPUTED_VALUE"""),10)</f>
        <v>10</v>
      </c>
      <c r="N120" s="8" t="str">
        <f ca="1">IFERROR(__xludf.DUMMYFUNCTION("""COMPUTED_VALUE"""),"ПО2")</f>
        <v>ПО2</v>
      </c>
    </row>
    <row r="121" spans="1:14" ht="12.45" hidden="1">
      <c r="A121" t="str">
        <f ca="1">IFERROR(__xludf.DUMMYFUNCTION("""COMPUTED_VALUE"""),"III-1-080")</f>
        <v>III-1-080</v>
      </c>
      <c r="B121" t="str">
        <f ca="1">IFERROR(__xludf.DUMMYFUNCTION("""COMPUTED_VALUE"""),"Буров")</f>
        <v>Буров</v>
      </c>
      <c r="C121" t="str">
        <f ca="1">IFERROR(__xludf.DUMMYFUNCTION("""COMPUTED_VALUE"""),"Константин")</f>
        <v>Константин</v>
      </c>
      <c r="D121" t="str">
        <f ca="1">IFERROR(__xludf.DUMMYFUNCTION("""COMPUTED_VALUE"""),"Школа 519")</f>
        <v>Школа 519</v>
      </c>
      <c r="E121" s="5">
        <f ca="1">IFERROR(__xludf.DUMMYFUNCTION("""COMPUTED_VALUE"""),2)</f>
        <v>2</v>
      </c>
      <c r="F121" s="5">
        <f ca="1">IFERROR(__xludf.DUMMYFUNCTION("""COMPUTED_VALUE"""),0)</f>
        <v>0</v>
      </c>
      <c r="G121" s="5">
        <f ca="1">IFERROR(__xludf.DUMMYFUNCTION("""COMPUTED_VALUE"""),3)</f>
        <v>3</v>
      </c>
      <c r="H121" s="5">
        <f ca="1">IFERROR(__xludf.DUMMYFUNCTION("""COMPUTED_VALUE"""),0)</f>
        <v>0</v>
      </c>
      <c r="I121" s="5"/>
      <c r="J121" s="5">
        <f ca="1">IFERROR(__xludf.DUMMYFUNCTION("""COMPUTED_VALUE"""),4)</f>
        <v>4</v>
      </c>
      <c r="K121" s="5">
        <f ca="1">IFERROR(__xludf.DUMMYFUNCTION("""COMPUTED_VALUE"""),0)</f>
        <v>0</v>
      </c>
      <c r="L121" s="5">
        <f ca="1">IFERROR(__xludf.DUMMYFUNCTION("""COMPUTED_VALUE"""),1)</f>
        <v>1</v>
      </c>
      <c r="M121">
        <f ca="1">IFERROR(__xludf.DUMMYFUNCTION("""COMPUTED_VALUE"""),10)</f>
        <v>10</v>
      </c>
      <c r="N121" s="8" t="str">
        <f ca="1">IFERROR(__xludf.DUMMYFUNCTION("""COMPUTED_VALUE"""),"ПО2")</f>
        <v>ПО2</v>
      </c>
    </row>
    <row r="122" spans="1:14" ht="12.45" hidden="1">
      <c r="A122" t="str">
        <f ca="1">IFERROR(__xludf.DUMMYFUNCTION("""COMPUTED_VALUE"""),"III-1-216")</f>
        <v>III-1-216</v>
      </c>
      <c r="B122" t="str">
        <f ca="1">IFERROR(__xludf.DUMMYFUNCTION("""COMPUTED_VALUE"""),"Канивец")</f>
        <v>Канивец</v>
      </c>
      <c r="C122" t="str">
        <f ca="1">IFERROR(__xludf.DUMMYFUNCTION("""COMPUTED_VALUE"""),"Фёдор")</f>
        <v>Фёдор</v>
      </c>
      <c r="D122" t="str">
        <f ca="1">IFERROR(__xludf.DUMMYFUNCTION("""COMPUTED_VALUE"""),"Гимназия 526")</f>
        <v>Гимназия 526</v>
      </c>
      <c r="E122" s="5">
        <f ca="1">IFERROR(__xludf.DUMMYFUNCTION("""COMPUTED_VALUE"""),2)</f>
        <v>2</v>
      </c>
      <c r="F122" s="5">
        <f ca="1">IFERROR(__xludf.DUMMYFUNCTION("""COMPUTED_VALUE"""),0)</f>
        <v>0</v>
      </c>
      <c r="G122" s="5">
        <f ca="1">IFERROR(__xludf.DUMMYFUNCTION("""COMPUTED_VALUE"""),3)</f>
        <v>3</v>
      </c>
      <c r="H122" s="5">
        <f ca="1">IFERROR(__xludf.DUMMYFUNCTION("""COMPUTED_VALUE"""),0)</f>
        <v>0</v>
      </c>
      <c r="I122" s="5">
        <f ca="1">IFERROR(__xludf.DUMMYFUNCTION("""COMPUTED_VALUE"""),0)</f>
        <v>0</v>
      </c>
      <c r="J122" s="5">
        <f ca="1">IFERROR(__xludf.DUMMYFUNCTION("""COMPUTED_VALUE"""),4)</f>
        <v>4</v>
      </c>
      <c r="K122" s="5">
        <f ca="1">IFERROR(__xludf.DUMMYFUNCTION("""COMPUTED_VALUE"""),0)</f>
        <v>0</v>
      </c>
      <c r="L122" s="5">
        <f ca="1">IFERROR(__xludf.DUMMYFUNCTION("""COMPUTED_VALUE"""),1)</f>
        <v>1</v>
      </c>
      <c r="M122">
        <f ca="1">IFERROR(__xludf.DUMMYFUNCTION("""COMPUTED_VALUE"""),10)</f>
        <v>10</v>
      </c>
      <c r="N122" s="8" t="str">
        <f ca="1">IFERROR(__xludf.DUMMYFUNCTION("""COMPUTED_VALUE"""),"ПО2")</f>
        <v>ПО2</v>
      </c>
    </row>
    <row r="123" spans="1:14" ht="12.45" hidden="1">
      <c r="A123" t="str">
        <f ca="1">IFERROR(__xludf.DUMMYFUNCTION("""COMPUTED_VALUE"""),"III-1-081")</f>
        <v>III-1-081</v>
      </c>
      <c r="B123" t="str">
        <f ca="1">IFERROR(__xludf.DUMMYFUNCTION("""COMPUTED_VALUE"""),"Бусарнов")</f>
        <v>Бусарнов</v>
      </c>
      <c r="C123" t="str">
        <f ca="1">IFERROR(__xludf.DUMMYFUNCTION("""COMPUTED_VALUE"""),"Роман")</f>
        <v>Роман</v>
      </c>
      <c r="D123" t="str">
        <f ca="1">IFERROR(__xludf.DUMMYFUNCTION("""COMPUTED_VALUE"""),"Гимназия 74")</f>
        <v>Гимназия 74</v>
      </c>
      <c r="E123" s="5">
        <f ca="1">IFERROR(__xludf.DUMMYFUNCTION("""COMPUTED_VALUE"""),2)</f>
        <v>2</v>
      </c>
      <c r="F123" s="5">
        <f ca="1">IFERROR(__xludf.DUMMYFUNCTION("""COMPUTED_VALUE"""),0)</f>
        <v>0</v>
      </c>
      <c r="G123" s="5">
        <f ca="1">IFERROR(__xludf.DUMMYFUNCTION("""COMPUTED_VALUE"""),3)</f>
        <v>3</v>
      </c>
      <c r="H123" s="5">
        <f ca="1">IFERROR(__xludf.DUMMYFUNCTION("""COMPUTED_VALUE"""),0)</f>
        <v>0</v>
      </c>
      <c r="I123" s="5"/>
      <c r="J123" s="5">
        <f ca="1">IFERROR(__xludf.DUMMYFUNCTION("""COMPUTED_VALUE"""),4)</f>
        <v>4</v>
      </c>
      <c r="K123" s="5"/>
      <c r="L123" s="5">
        <f ca="1">IFERROR(__xludf.DUMMYFUNCTION("""COMPUTED_VALUE"""),1)</f>
        <v>1</v>
      </c>
      <c r="M123">
        <f ca="1">IFERROR(__xludf.DUMMYFUNCTION("""COMPUTED_VALUE"""),10)</f>
        <v>10</v>
      </c>
      <c r="N123" s="8" t="str">
        <f ca="1">IFERROR(__xludf.DUMMYFUNCTION("""COMPUTED_VALUE"""),"ПО2")</f>
        <v>ПО2</v>
      </c>
    </row>
    <row r="124" spans="1:14" ht="12.45" hidden="1">
      <c r="A124" t="str">
        <f ca="1">IFERROR(__xludf.DUMMYFUNCTION("""COMPUTED_VALUE"""),"V-1-587")</f>
        <v>V-1-587</v>
      </c>
      <c r="B124" t="str">
        <f ca="1">IFERROR(__xludf.DUMMYFUNCTION("""COMPUTED_VALUE"""),"Шанина")</f>
        <v>Шанина</v>
      </c>
      <c r="C124" t="str">
        <f ca="1">IFERROR(__xludf.DUMMYFUNCTION("""COMPUTED_VALUE"""),"Валерия")</f>
        <v>Валерия</v>
      </c>
      <c r="D124" t="str">
        <f ca="1">IFERROR(__xludf.DUMMYFUNCTION("""COMPUTED_VALUE"""),"Школа 292")</f>
        <v>Школа 292</v>
      </c>
      <c r="E124" s="5">
        <f ca="1">IFERROR(__xludf.DUMMYFUNCTION("""COMPUTED_VALUE"""),2)</f>
        <v>2</v>
      </c>
      <c r="F124" s="5">
        <f ca="1">IFERROR(__xludf.DUMMYFUNCTION("""COMPUTED_VALUE"""),0)</f>
        <v>0</v>
      </c>
      <c r="G124" s="5">
        <f ca="1">IFERROR(__xludf.DUMMYFUNCTION("""COMPUTED_VALUE"""),3)</f>
        <v>3</v>
      </c>
      <c r="H124" s="5">
        <f ca="1">IFERROR(__xludf.DUMMYFUNCTION("""COMPUTED_VALUE"""),0)</f>
        <v>0</v>
      </c>
      <c r="I124" s="5">
        <f ca="1">IFERROR(__xludf.DUMMYFUNCTION("""COMPUTED_VALUE"""),0)</f>
        <v>0</v>
      </c>
      <c r="J124" s="5">
        <f ca="1">IFERROR(__xludf.DUMMYFUNCTION("""COMPUTED_VALUE"""),0)</f>
        <v>0</v>
      </c>
      <c r="K124" s="5">
        <f ca="1">IFERROR(__xludf.DUMMYFUNCTION("""COMPUTED_VALUE"""),4)</f>
        <v>4</v>
      </c>
      <c r="L124" s="5">
        <f ca="1">IFERROR(__xludf.DUMMYFUNCTION("""COMPUTED_VALUE"""),1)</f>
        <v>1</v>
      </c>
      <c r="M124">
        <f ca="1">IFERROR(__xludf.DUMMYFUNCTION("""COMPUTED_VALUE"""),10)</f>
        <v>10</v>
      </c>
      <c r="N124" s="8" t="str">
        <f ca="1">IFERROR(__xludf.DUMMYFUNCTION("""COMPUTED_VALUE"""),"ПО2")</f>
        <v>ПО2</v>
      </c>
    </row>
    <row r="125" spans="1:14" ht="12.45" hidden="1">
      <c r="A125" t="str">
        <f ca="1">IFERROR(__xludf.DUMMYFUNCTION("""COMPUTED_VALUE"""),"III-1-113")</f>
        <v>III-1-113</v>
      </c>
      <c r="B125" t="str">
        <f ca="1">IFERROR(__xludf.DUMMYFUNCTION("""COMPUTED_VALUE"""),"Гаврилов")</f>
        <v>Гаврилов</v>
      </c>
      <c r="C125" t="str">
        <f ca="1">IFERROR(__xludf.DUMMYFUNCTION("""COMPUTED_VALUE"""),"Иван")</f>
        <v>Иван</v>
      </c>
      <c r="D125" t="str">
        <f ca="1">IFERROR(__xludf.DUMMYFUNCTION("""COMPUTED_VALUE"""),"Гимназия 73")</f>
        <v>Гимназия 73</v>
      </c>
      <c r="E125" s="5">
        <f ca="1">IFERROR(__xludf.DUMMYFUNCTION("""COMPUTED_VALUE"""),2)</f>
        <v>2</v>
      </c>
      <c r="F125" s="5">
        <f ca="1">IFERROR(__xludf.DUMMYFUNCTION("""COMPUTED_VALUE"""),0)</f>
        <v>0</v>
      </c>
      <c r="G125" s="5">
        <f ca="1">IFERROR(__xludf.DUMMYFUNCTION("""COMPUTED_VALUE"""),3)</f>
        <v>3</v>
      </c>
      <c r="H125" s="5">
        <f ca="1">IFERROR(__xludf.DUMMYFUNCTION("""COMPUTED_VALUE"""),0)</f>
        <v>0</v>
      </c>
      <c r="I125" s="5">
        <f ca="1">IFERROR(__xludf.DUMMYFUNCTION("""COMPUTED_VALUE"""),0)</f>
        <v>0</v>
      </c>
      <c r="J125" s="5">
        <f ca="1">IFERROR(__xludf.DUMMYFUNCTION("""COMPUTED_VALUE"""),0)</f>
        <v>0</v>
      </c>
      <c r="K125" s="5">
        <f ca="1">IFERROR(__xludf.DUMMYFUNCTION("""COMPUTED_VALUE"""),4)</f>
        <v>4</v>
      </c>
      <c r="L125" s="5">
        <f ca="1">IFERROR(__xludf.DUMMYFUNCTION("""COMPUTED_VALUE"""),1)</f>
        <v>1</v>
      </c>
      <c r="M125">
        <f ca="1">IFERROR(__xludf.DUMMYFUNCTION("""COMPUTED_VALUE"""),10)</f>
        <v>10</v>
      </c>
      <c r="N125" s="8" t="str">
        <f ca="1">IFERROR(__xludf.DUMMYFUNCTION("""COMPUTED_VALUE"""),"ПО2")</f>
        <v>ПО2</v>
      </c>
    </row>
    <row r="126" spans="1:14" ht="12.45" hidden="1">
      <c r="A126" t="str">
        <f ca="1">IFERROR(__xludf.DUMMYFUNCTION("""COMPUTED_VALUE"""),"III-1-015")</f>
        <v>III-1-015</v>
      </c>
      <c r="B126" t="str">
        <f ca="1">IFERROR(__xludf.DUMMYFUNCTION("""COMPUTED_VALUE"""),"Али")</f>
        <v>Али</v>
      </c>
      <c r="C126" t="str">
        <f ca="1">IFERROR(__xludf.DUMMYFUNCTION("""COMPUTED_VALUE"""),"Самир")</f>
        <v>Самир</v>
      </c>
      <c r="D126" t="str">
        <f ca="1">IFERROR(__xludf.DUMMYFUNCTION("""COMPUTED_VALUE"""),"Школа 598")</f>
        <v>Школа 598</v>
      </c>
      <c r="E126" s="5">
        <f ca="1">IFERROR(__xludf.DUMMYFUNCTION("""COMPUTED_VALUE"""),2)</f>
        <v>2</v>
      </c>
      <c r="F126" s="5">
        <f ca="1">IFERROR(__xludf.DUMMYFUNCTION("""COMPUTED_VALUE"""),0)</f>
        <v>0</v>
      </c>
      <c r="G126" s="5">
        <f ca="1">IFERROR(__xludf.DUMMYFUNCTION("""COMPUTED_VALUE"""),3)</f>
        <v>3</v>
      </c>
      <c r="H126" s="5">
        <f ca="1">IFERROR(__xludf.DUMMYFUNCTION("""COMPUTED_VALUE"""),1)</f>
        <v>1</v>
      </c>
      <c r="I126" s="5">
        <f ca="1">IFERROR(__xludf.DUMMYFUNCTION("""COMPUTED_VALUE"""),0)</f>
        <v>0</v>
      </c>
      <c r="J126" s="5">
        <f ca="1">IFERROR(__xludf.DUMMYFUNCTION("""COMPUTED_VALUE"""),4)</f>
        <v>4</v>
      </c>
      <c r="K126" s="5">
        <f ca="1">IFERROR(__xludf.DUMMYFUNCTION("""COMPUTED_VALUE"""),0)</f>
        <v>0</v>
      </c>
      <c r="L126" s="5">
        <f ca="1">IFERROR(__xludf.DUMMYFUNCTION("""COMPUTED_VALUE"""),0)</f>
        <v>0</v>
      </c>
      <c r="M126">
        <f ca="1">IFERROR(__xludf.DUMMYFUNCTION("""COMPUTED_VALUE"""),10)</f>
        <v>10</v>
      </c>
      <c r="N126" s="8" t="str">
        <f ca="1">IFERROR(__xludf.DUMMYFUNCTION("""COMPUTED_VALUE"""),"ПО2")</f>
        <v>ПО2</v>
      </c>
    </row>
    <row r="127" spans="1:14" ht="12.45" hidden="1">
      <c r="A127" t="str">
        <f ca="1">IFERROR(__xludf.DUMMYFUNCTION("""COMPUTED_VALUE"""),"III-1-212")</f>
        <v>III-1-212</v>
      </c>
      <c r="B127" t="str">
        <f ca="1">IFERROR(__xludf.DUMMYFUNCTION("""COMPUTED_VALUE"""),"Исаев")</f>
        <v>Исаев</v>
      </c>
      <c r="C127" t="str">
        <f ca="1">IFERROR(__xludf.DUMMYFUNCTION("""COMPUTED_VALUE"""),"Николай")</f>
        <v>Николай</v>
      </c>
      <c r="D127" t="str">
        <f ca="1">IFERROR(__xludf.DUMMYFUNCTION("""COMPUTED_VALUE"""),"Школа 213")</f>
        <v>Школа 213</v>
      </c>
      <c r="E127" s="5">
        <f ca="1">IFERROR(__xludf.DUMMYFUNCTION("""COMPUTED_VALUE"""),2)</f>
        <v>2</v>
      </c>
      <c r="F127" s="5">
        <f ca="1">IFERROR(__xludf.DUMMYFUNCTION("""COMPUTED_VALUE"""),0)</f>
        <v>0</v>
      </c>
      <c r="G127" s="5">
        <f ca="1">IFERROR(__xludf.DUMMYFUNCTION("""COMPUTED_VALUE"""),3)</f>
        <v>3</v>
      </c>
      <c r="H127" s="5">
        <f ca="1">IFERROR(__xludf.DUMMYFUNCTION("""COMPUTED_VALUE"""),0)</f>
        <v>0</v>
      </c>
      <c r="I127" s="5">
        <f ca="1">IFERROR(__xludf.DUMMYFUNCTION("""COMPUTED_VALUE"""),0)</f>
        <v>0</v>
      </c>
      <c r="J127" s="5">
        <f ca="1">IFERROR(__xludf.DUMMYFUNCTION("""COMPUTED_VALUE"""),4)</f>
        <v>4</v>
      </c>
      <c r="K127" s="5">
        <f ca="1">IFERROR(__xludf.DUMMYFUNCTION("""COMPUTED_VALUE"""),0)</f>
        <v>0</v>
      </c>
      <c r="L127" s="5">
        <f ca="1">IFERROR(__xludf.DUMMYFUNCTION("""COMPUTED_VALUE"""),1)</f>
        <v>1</v>
      </c>
      <c r="M127">
        <f ca="1">IFERROR(__xludf.DUMMYFUNCTION("""COMPUTED_VALUE"""),10)</f>
        <v>10</v>
      </c>
      <c r="N127" s="8" t="str">
        <f ca="1">IFERROR(__xludf.DUMMYFUNCTION("""COMPUTED_VALUE"""),"ПО2")</f>
        <v>ПО2</v>
      </c>
    </row>
    <row r="128" spans="1:14" ht="12.45" hidden="1">
      <c r="A128" t="str">
        <f ca="1">IFERROR(__xludf.DUMMYFUNCTION("""COMPUTED_VALUE"""),"V-1-538")</f>
        <v>V-1-538</v>
      </c>
      <c r="B128" t="str">
        <f ca="1">IFERROR(__xludf.DUMMYFUNCTION("""COMPUTED_VALUE"""),"Фарафонов")</f>
        <v>Фарафонов</v>
      </c>
      <c r="C128" t="str">
        <f ca="1">IFERROR(__xludf.DUMMYFUNCTION("""COMPUTED_VALUE"""),"Иван")</f>
        <v>Иван</v>
      </c>
      <c r="D128" t="str">
        <f ca="1">IFERROR(__xludf.DUMMYFUNCTION("""COMPUTED_VALUE"""),"Школа 213")</f>
        <v>Школа 213</v>
      </c>
      <c r="E128" s="5">
        <f ca="1">IFERROR(__xludf.DUMMYFUNCTION("""COMPUTED_VALUE"""),2)</f>
        <v>2</v>
      </c>
      <c r="F128" s="5">
        <f ca="1">IFERROR(__xludf.DUMMYFUNCTION("""COMPUTED_VALUE"""),0)</f>
        <v>0</v>
      </c>
      <c r="G128" s="5">
        <f ca="1">IFERROR(__xludf.DUMMYFUNCTION("""COMPUTED_VALUE"""),3)</f>
        <v>3</v>
      </c>
      <c r="H128" s="5"/>
      <c r="I128" s="5">
        <f ca="1">IFERROR(__xludf.DUMMYFUNCTION("""COMPUTED_VALUE"""),0)</f>
        <v>0</v>
      </c>
      <c r="J128" s="5">
        <f ca="1">IFERROR(__xludf.DUMMYFUNCTION("""COMPUTED_VALUE"""),4)</f>
        <v>4</v>
      </c>
      <c r="K128" s="5">
        <f ca="1">IFERROR(__xludf.DUMMYFUNCTION("""COMPUTED_VALUE"""),0)</f>
        <v>0</v>
      </c>
      <c r="L128" s="5">
        <f ca="1">IFERROR(__xludf.DUMMYFUNCTION("""COMPUTED_VALUE"""),1)</f>
        <v>1</v>
      </c>
      <c r="M128">
        <f ca="1">IFERROR(__xludf.DUMMYFUNCTION("""COMPUTED_VALUE"""),10)</f>
        <v>10</v>
      </c>
      <c r="N128" s="8" t="str">
        <f ca="1">IFERROR(__xludf.DUMMYFUNCTION("""COMPUTED_VALUE"""),"ПО2")</f>
        <v>ПО2</v>
      </c>
    </row>
    <row r="129" spans="1:14" ht="12.45" hidden="1">
      <c r="A129" t="str">
        <f ca="1">IFERROR(__xludf.DUMMYFUNCTION("""COMPUTED_VALUE"""),"V-1-599")</f>
        <v>V-1-599</v>
      </c>
      <c r="B129" t="str">
        <f ca="1">IFERROR(__xludf.DUMMYFUNCTION("""COMPUTED_VALUE"""),"Шкаева")</f>
        <v>Шкаева</v>
      </c>
      <c r="C129" t="str">
        <f ca="1">IFERROR(__xludf.DUMMYFUNCTION("""COMPUTED_VALUE"""),"Милана")</f>
        <v>Милана</v>
      </c>
      <c r="D129" t="str">
        <f ca="1">IFERROR(__xludf.DUMMYFUNCTION("""COMPUTED_VALUE"""),"Школа 100")</f>
        <v>Школа 100</v>
      </c>
      <c r="E129" s="5">
        <f ca="1">IFERROR(__xludf.DUMMYFUNCTION("""COMPUTED_VALUE"""),2)</f>
        <v>2</v>
      </c>
      <c r="F129" s="5">
        <f ca="1">IFERROR(__xludf.DUMMYFUNCTION("""COMPUTED_VALUE"""),0)</f>
        <v>0</v>
      </c>
      <c r="G129" s="5">
        <f ca="1">IFERROR(__xludf.DUMMYFUNCTION("""COMPUTED_VALUE"""),3)</f>
        <v>3</v>
      </c>
      <c r="H129" s="5">
        <f ca="1">IFERROR(__xludf.DUMMYFUNCTION("""COMPUTED_VALUE"""),0)</f>
        <v>0</v>
      </c>
      <c r="I129" s="5"/>
      <c r="J129" s="5"/>
      <c r="K129" s="5">
        <f ca="1">IFERROR(__xludf.DUMMYFUNCTION("""COMPUTED_VALUE"""),4)</f>
        <v>4</v>
      </c>
      <c r="L129" s="5">
        <f ca="1">IFERROR(__xludf.DUMMYFUNCTION("""COMPUTED_VALUE"""),1)</f>
        <v>1</v>
      </c>
      <c r="M129">
        <f ca="1">IFERROR(__xludf.DUMMYFUNCTION("""COMPUTED_VALUE"""),10)</f>
        <v>10</v>
      </c>
      <c r="N129" s="8" t="str">
        <f ca="1">IFERROR(__xludf.DUMMYFUNCTION("""COMPUTED_VALUE"""),"ПО2")</f>
        <v>ПО2</v>
      </c>
    </row>
    <row r="130" spans="1:14" ht="12.45" hidden="1">
      <c r="A130" t="str">
        <f ca="1">IFERROR(__xludf.DUMMYFUNCTION("""COMPUTED_VALUE"""),"III-1-077")</f>
        <v>III-1-077</v>
      </c>
      <c r="B130" t="str">
        <f ca="1">IFERROR(__xludf.DUMMYFUNCTION("""COMPUTED_VALUE"""),"Буинцева")</f>
        <v>Буинцева</v>
      </c>
      <c r="C130" t="str">
        <f ca="1">IFERROR(__xludf.DUMMYFUNCTION("""COMPUTED_VALUE"""),"Анастасия")</f>
        <v>Анастасия</v>
      </c>
      <c r="D130" t="str">
        <f ca="1">IFERROR(__xludf.DUMMYFUNCTION("""COMPUTED_VALUE"""),"Лицей 150")</f>
        <v>Лицей 150</v>
      </c>
      <c r="E130" s="5">
        <f ca="1">IFERROR(__xludf.DUMMYFUNCTION("""COMPUTED_VALUE"""),2)</f>
        <v>2</v>
      </c>
      <c r="F130" s="5"/>
      <c r="G130" s="5">
        <f ca="1">IFERROR(__xludf.DUMMYFUNCTION("""COMPUTED_VALUE"""),3)</f>
        <v>3</v>
      </c>
      <c r="H130" s="5"/>
      <c r="I130" s="5"/>
      <c r="J130" s="5"/>
      <c r="K130" s="5">
        <f ca="1">IFERROR(__xludf.DUMMYFUNCTION("""COMPUTED_VALUE"""),4)</f>
        <v>4</v>
      </c>
      <c r="L130" s="5">
        <f ca="1">IFERROR(__xludf.DUMMYFUNCTION("""COMPUTED_VALUE"""),1)</f>
        <v>1</v>
      </c>
      <c r="M130">
        <f ca="1">IFERROR(__xludf.DUMMYFUNCTION("""COMPUTED_VALUE"""),10)</f>
        <v>10</v>
      </c>
      <c r="N130" s="8" t="str">
        <f ca="1">IFERROR(__xludf.DUMMYFUNCTION("""COMPUTED_VALUE"""),"ПО2")</f>
        <v>ПО2</v>
      </c>
    </row>
    <row r="131" spans="1:14" ht="12.45" hidden="1">
      <c r="A131" t="str">
        <f ca="1">IFERROR(__xludf.DUMMYFUNCTION("""COMPUTED_VALUE"""),"III-1-040")</f>
        <v>III-1-040</v>
      </c>
      <c r="B131" t="str">
        <f ca="1">IFERROR(__xludf.DUMMYFUNCTION("""COMPUTED_VALUE"""),"Байрук")</f>
        <v>Байрук</v>
      </c>
      <c r="C131" t="str">
        <f ca="1">IFERROR(__xludf.DUMMYFUNCTION("""COMPUTED_VALUE"""),"Никита")</f>
        <v>Никита</v>
      </c>
      <c r="D131" t="str">
        <f ca="1">IFERROR(__xludf.DUMMYFUNCTION("""COMPUTED_VALUE"""),"Школа 18")</f>
        <v>Школа 18</v>
      </c>
      <c r="E131" s="5">
        <f ca="1">IFERROR(__xludf.DUMMYFUNCTION("""COMPUTED_VALUE"""),2)</f>
        <v>2</v>
      </c>
      <c r="F131" s="5">
        <f ca="1">IFERROR(__xludf.DUMMYFUNCTION("""COMPUTED_VALUE"""),0)</f>
        <v>0</v>
      </c>
      <c r="G131" s="5">
        <f ca="1">IFERROR(__xludf.DUMMYFUNCTION("""COMPUTED_VALUE"""),3)</f>
        <v>3</v>
      </c>
      <c r="H131" s="5">
        <f ca="1">IFERROR(__xludf.DUMMYFUNCTION("""COMPUTED_VALUE"""),5)</f>
        <v>5</v>
      </c>
      <c r="I131" s="5">
        <f ca="1">IFERROR(__xludf.DUMMYFUNCTION("""COMPUTED_VALUE"""),0)</f>
        <v>0</v>
      </c>
      <c r="J131" s="5">
        <f ca="1">IFERROR(__xludf.DUMMYFUNCTION("""COMPUTED_VALUE"""),0)</f>
        <v>0</v>
      </c>
      <c r="K131" s="5">
        <f ca="1">IFERROR(__xludf.DUMMYFUNCTION("""COMPUTED_VALUE"""),0)</f>
        <v>0</v>
      </c>
      <c r="L131" s="5">
        <f ca="1">IFERROR(__xludf.DUMMYFUNCTION("""COMPUTED_VALUE"""),0)</f>
        <v>0</v>
      </c>
      <c r="M131">
        <f ca="1">IFERROR(__xludf.DUMMYFUNCTION("""COMPUTED_VALUE"""),10)</f>
        <v>10</v>
      </c>
      <c r="N131" s="8" t="str">
        <f ca="1">IFERROR(__xludf.DUMMYFUNCTION("""COMPUTED_VALUE"""),"ПО2")</f>
        <v>ПО2</v>
      </c>
    </row>
    <row r="132" spans="1:14" ht="12.45" hidden="1">
      <c r="A132" t="str">
        <f ca="1">IFERROR(__xludf.DUMMYFUNCTION("""COMPUTED_VALUE"""),"V-1-589")</f>
        <v>V-1-589</v>
      </c>
      <c r="B132" t="str">
        <f ca="1">IFERROR(__xludf.DUMMYFUNCTION("""COMPUTED_VALUE"""),"Шариков")</f>
        <v>Шариков</v>
      </c>
      <c r="C132" t="str">
        <f ca="1">IFERROR(__xludf.DUMMYFUNCTION("""COMPUTED_VALUE"""),"Артём")</f>
        <v>Артём</v>
      </c>
      <c r="D132" t="str">
        <f ca="1">IFERROR(__xludf.DUMMYFUNCTION("""COMPUTED_VALUE"""),"Школа 655")</f>
        <v>Школа 655</v>
      </c>
      <c r="E132" s="5">
        <f ca="1">IFERROR(__xludf.DUMMYFUNCTION("""COMPUTED_VALUE"""),2)</f>
        <v>2</v>
      </c>
      <c r="F132" s="5"/>
      <c r="G132" s="5">
        <f ca="1">IFERROR(__xludf.DUMMYFUNCTION("""COMPUTED_VALUE"""),3)</f>
        <v>3</v>
      </c>
      <c r="H132" s="5">
        <f ca="1">IFERROR(__xludf.DUMMYFUNCTION("""COMPUTED_VALUE"""),0)</f>
        <v>0</v>
      </c>
      <c r="I132" s="5">
        <f ca="1">IFERROR(__xludf.DUMMYFUNCTION("""COMPUTED_VALUE"""),0)</f>
        <v>0</v>
      </c>
      <c r="J132" s="5">
        <f ca="1">IFERROR(__xludf.DUMMYFUNCTION("""COMPUTED_VALUE"""),4)</f>
        <v>4</v>
      </c>
      <c r="K132" s="5">
        <f ca="1">IFERROR(__xludf.DUMMYFUNCTION("""COMPUTED_VALUE"""),0)</f>
        <v>0</v>
      </c>
      <c r="L132" s="5">
        <f ca="1">IFERROR(__xludf.DUMMYFUNCTION("""COMPUTED_VALUE"""),1)</f>
        <v>1</v>
      </c>
      <c r="M132">
        <f ca="1">IFERROR(__xludf.DUMMYFUNCTION("""COMPUTED_VALUE"""),10)</f>
        <v>10</v>
      </c>
      <c r="N132" s="8" t="str">
        <f ca="1">IFERROR(__xludf.DUMMYFUNCTION("""COMPUTED_VALUE"""),"ПО2")</f>
        <v>ПО2</v>
      </c>
    </row>
    <row r="133" spans="1:14" ht="12.45" hidden="1">
      <c r="A133" t="str">
        <f ca="1">IFERROR(__xludf.DUMMYFUNCTION("""COMPUTED_VALUE"""),"V-1-516")</f>
        <v>V-1-516</v>
      </c>
      <c r="B133" t="str">
        <f ca="1">IFERROR(__xludf.DUMMYFUNCTION("""COMPUTED_VALUE"""),"Терехов")</f>
        <v>Терехов</v>
      </c>
      <c r="C133" t="str">
        <f ca="1">IFERROR(__xludf.DUMMYFUNCTION("""COMPUTED_VALUE"""),"Александр")</f>
        <v>Александр</v>
      </c>
      <c r="D133" t="str">
        <f ca="1">IFERROR(__xludf.DUMMYFUNCTION("""COMPUTED_VALUE"""),"Лицей 344")</f>
        <v>Лицей 344</v>
      </c>
      <c r="E133" s="5">
        <f ca="1">IFERROR(__xludf.DUMMYFUNCTION("""COMPUTED_VALUE"""),0)</f>
        <v>0</v>
      </c>
      <c r="F133" s="5">
        <f ca="1">IFERROR(__xludf.DUMMYFUNCTION("""COMPUTED_VALUE"""),0)</f>
        <v>0</v>
      </c>
      <c r="G133" s="5">
        <f ca="1">IFERROR(__xludf.DUMMYFUNCTION("""COMPUTED_VALUE"""),3)</f>
        <v>3</v>
      </c>
      <c r="H133" s="5">
        <f ca="1">IFERROR(__xludf.DUMMYFUNCTION("""COMPUTED_VALUE"""),0)</f>
        <v>0</v>
      </c>
      <c r="I133" s="5">
        <f ca="1">IFERROR(__xludf.DUMMYFUNCTION("""COMPUTED_VALUE"""),1)</f>
        <v>1</v>
      </c>
      <c r="J133" s="5">
        <f ca="1">IFERROR(__xludf.DUMMYFUNCTION("""COMPUTED_VALUE"""),0)</f>
        <v>0</v>
      </c>
      <c r="K133" s="5">
        <f ca="1">IFERROR(__xludf.DUMMYFUNCTION("""COMPUTED_VALUE"""),4)</f>
        <v>4</v>
      </c>
      <c r="L133" s="5">
        <f ca="1">IFERROR(__xludf.DUMMYFUNCTION("""COMPUTED_VALUE"""),1)</f>
        <v>1</v>
      </c>
      <c r="M133">
        <f ca="1">IFERROR(__xludf.DUMMYFUNCTION("""COMPUTED_VALUE"""),9)</f>
        <v>9</v>
      </c>
      <c r="N133" s="8"/>
    </row>
    <row r="134" spans="1:14" ht="12.45">
      <c r="A134" t="str">
        <f ca="1">IFERROR(__xludf.DUMMYFUNCTION("""COMPUTED_VALUE"""),"III-1-228")</f>
        <v>III-1-228</v>
      </c>
      <c r="B134" t="str">
        <f ca="1">IFERROR(__xludf.DUMMYFUNCTION("""COMPUTED_VALUE"""),"Кизеева")</f>
        <v>Кизеева</v>
      </c>
      <c r="C134" t="str">
        <f ca="1">IFERROR(__xludf.DUMMYFUNCTION("""COMPUTED_VALUE"""),"Анастасия")</f>
        <v>Анастасия</v>
      </c>
      <c r="D134" t="str">
        <f ca="1">IFERROR(__xludf.DUMMYFUNCTION("""COMPUTED_VALUE"""),"Гимназия лингвистическая 3")</f>
        <v>Гимназия лингвистическая 3</v>
      </c>
      <c r="E134" s="5">
        <f ca="1">IFERROR(__xludf.DUMMYFUNCTION("""COMPUTED_VALUE"""),1)</f>
        <v>1</v>
      </c>
      <c r="F134" s="5">
        <f ca="1">IFERROR(__xludf.DUMMYFUNCTION("""COMPUTED_VALUE"""),3)</f>
        <v>3</v>
      </c>
      <c r="G134" s="5">
        <f ca="1">IFERROR(__xludf.DUMMYFUNCTION("""COMPUTED_VALUE"""),0)</f>
        <v>0</v>
      </c>
      <c r="H134" s="5">
        <f ca="1">IFERROR(__xludf.DUMMYFUNCTION("""COMPUTED_VALUE"""),0)</f>
        <v>0</v>
      </c>
      <c r="I134" s="5"/>
      <c r="J134" s="5">
        <f ca="1">IFERROR(__xludf.DUMMYFUNCTION("""COMPUTED_VALUE"""),4)</f>
        <v>4</v>
      </c>
      <c r="K134" s="5"/>
      <c r="L134" s="5">
        <f ca="1">IFERROR(__xludf.DUMMYFUNCTION("""COMPUTED_VALUE"""),1)</f>
        <v>1</v>
      </c>
      <c r="M134">
        <f ca="1">IFERROR(__xludf.DUMMYFUNCTION("""COMPUTED_VALUE"""),9)</f>
        <v>9</v>
      </c>
      <c r="N134" s="8"/>
    </row>
    <row r="135" spans="1:14" ht="12.45" hidden="1">
      <c r="A135" t="str">
        <f ca="1">IFERROR(__xludf.DUMMYFUNCTION("""COMPUTED_VALUE"""),"III-1-221")</f>
        <v>III-1-221</v>
      </c>
      <c r="B135" t="str">
        <f ca="1">IFERROR(__xludf.DUMMYFUNCTION("""COMPUTED_VALUE"""),"Карпов")</f>
        <v>Карпов</v>
      </c>
      <c r="C135" t="str">
        <f ca="1">IFERROR(__xludf.DUMMYFUNCTION("""COMPUTED_VALUE"""),"Алексей")</f>
        <v>Алексей</v>
      </c>
      <c r="D135" t="str">
        <f ca="1">IFERROR(__xludf.DUMMYFUNCTION("""COMPUTED_VALUE"""),"Школа 43")</f>
        <v>Школа 43</v>
      </c>
      <c r="E135" s="5">
        <f ca="1">IFERROR(__xludf.DUMMYFUNCTION("""COMPUTED_VALUE"""),0)</f>
        <v>0</v>
      </c>
      <c r="F135" s="5">
        <f ca="1">IFERROR(__xludf.DUMMYFUNCTION("""COMPUTED_VALUE"""),0)</f>
        <v>0</v>
      </c>
      <c r="G135" s="5">
        <f ca="1">IFERROR(__xludf.DUMMYFUNCTION("""COMPUTED_VALUE"""),3)</f>
        <v>3</v>
      </c>
      <c r="H135" s="5">
        <f ca="1">IFERROR(__xludf.DUMMYFUNCTION("""COMPUTED_VALUE"""),1)</f>
        <v>1</v>
      </c>
      <c r="I135" s="5"/>
      <c r="J135" s="5"/>
      <c r="K135" s="5">
        <f ca="1">IFERROR(__xludf.DUMMYFUNCTION("""COMPUTED_VALUE"""),4)</f>
        <v>4</v>
      </c>
      <c r="L135" s="5">
        <f ca="1">IFERROR(__xludf.DUMMYFUNCTION("""COMPUTED_VALUE"""),1)</f>
        <v>1</v>
      </c>
      <c r="M135">
        <f ca="1">IFERROR(__xludf.DUMMYFUNCTION("""COMPUTED_VALUE"""),9)</f>
        <v>9</v>
      </c>
      <c r="N135" s="8"/>
    </row>
    <row r="136" spans="1:14" ht="12.45" hidden="1">
      <c r="A136" t="str">
        <f ca="1">IFERROR(__xludf.DUMMYFUNCTION("""COMPUTED_VALUE"""),"V-1-401")</f>
        <v>V-1-401</v>
      </c>
      <c r="B136" t="str">
        <f ca="1">IFERROR(__xludf.DUMMYFUNCTION("""COMPUTED_VALUE"""),"Пичугин")</f>
        <v>Пичугин</v>
      </c>
      <c r="C136" t="str">
        <f ca="1">IFERROR(__xludf.DUMMYFUNCTION("""COMPUTED_VALUE"""),"Лев")</f>
        <v>Лев</v>
      </c>
      <c r="D136" t="str">
        <f ca="1">IFERROR(__xludf.DUMMYFUNCTION("""COMPUTED_VALUE"""),"Гимназия 446")</f>
        <v>Гимназия 446</v>
      </c>
      <c r="E136" s="5">
        <f ca="1">IFERROR(__xludf.DUMMYFUNCTION("""COMPUTED_VALUE"""),2)</f>
        <v>2</v>
      </c>
      <c r="F136" s="5">
        <f ca="1">IFERROR(__xludf.DUMMYFUNCTION("""COMPUTED_VALUE"""),3)</f>
        <v>3</v>
      </c>
      <c r="G136" s="5">
        <f ca="1">IFERROR(__xludf.DUMMYFUNCTION("""COMPUTED_VALUE"""),3)</f>
        <v>3</v>
      </c>
      <c r="H136" s="5">
        <f ca="1">IFERROR(__xludf.DUMMYFUNCTION("""COMPUTED_VALUE"""),0)</f>
        <v>0</v>
      </c>
      <c r="I136" s="5">
        <f ca="1">IFERROR(__xludf.DUMMYFUNCTION("""COMPUTED_VALUE"""),0)</f>
        <v>0</v>
      </c>
      <c r="J136" s="5">
        <f ca="1">IFERROR(__xludf.DUMMYFUNCTION("""COMPUTED_VALUE"""),0)</f>
        <v>0</v>
      </c>
      <c r="K136" s="5">
        <f ca="1">IFERROR(__xludf.DUMMYFUNCTION("""COMPUTED_VALUE"""),0)</f>
        <v>0</v>
      </c>
      <c r="L136" s="5">
        <f ca="1">IFERROR(__xludf.DUMMYFUNCTION("""COMPUTED_VALUE"""),1)</f>
        <v>1</v>
      </c>
      <c r="M136">
        <f ca="1">IFERROR(__xludf.DUMMYFUNCTION("""COMPUTED_VALUE"""),9)</f>
        <v>9</v>
      </c>
      <c r="N136" s="8"/>
    </row>
    <row r="137" spans="1:14" ht="12.45" hidden="1">
      <c r="A137" t="str">
        <f ca="1">IFERROR(__xludf.DUMMYFUNCTION("""COMPUTED_VALUE"""),"III-1-198")</f>
        <v>III-1-198</v>
      </c>
      <c r="B137" t="str">
        <f ca="1">IFERROR(__xludf.DUMMYFUNCTION("""COMPUTED_VALUE"""),"Ибрагимова")</f>
        <v>Ибрагимова</v>
      </c>
      <c r="C137" t="str">
        <f ca="1">IFERROR(__xludf.DUMMYFUNCTION("""COMPUTED_VALUE"""),"Серафима")</f>
        <v>Серафима</v>
      </c>
      <c r="D137" t="str">
        <f ca="1">IFERROR(__xludf.DUMMYFUNCTION("""COMPUTED_VALUE"""),"Школа 504")</f>
        <v>Школа 504</v>
      </c>
      <c r="E137" s="5">
        <f ca="1">IFERROR(__xludf.DUMMYFUNCTION("""COMPUTED_VALUE"""),1)</f>
        <v>1</v>
      </c>
      <c r="F137" s="5"/>
      <c r="G137" s="5">
        <f ca="1">IFERROR(__xludf.DUMMYFUNCTION("""COMPUTED_VALUE"""),3)</f>
        <v>3</v>
      </c>
      <c r="H137" s="5">
        <f ca="1">IFERROR(__xludf.DUMMYFUNCTION("""COMPUTED_VALUE"""),0)</f>
        <v>0</v>
      </c>
      <c r="I137" s="5">
        <f ca="1">IFERROR(__xludf.DUMMYFUNCTION("""COMPUTED_VALUE"""),0)</f>
        <v>0</v>
      </c>
      <c r="J137" s="5">
        <f ca="1">IFERROR(__xludf.DUMMYFUNCTION("""COMPUTED_VALUE"""),4)</f>
        <v>4</v>
      </c>
      <c r="K137" s="5">
        <f ca="1">IFERROR(__xludf.DUMMYFUNCTION("""COMPUTED_VALUE"""),0)</f>
        <v>0</v>
      </c>
      <c r="L137" s="5">
        <f ca="1">IFERROR(__xludf.DUMMYFUNCTION("""COMPUTED_VALUE"""),1)</f>
        <v>1</v>
      </c>
      <c r="M137">
        <f ca="1">IFERROR(__xludf.DUMMYFUNCTION("""COMPUTED_VALUE"""),9)</f>
        <v>9</v>
      </c>
      <c r="N137" s="8"/>
    </row>
    <row r="138" spans="1:14" ht="12.45" hidden="1">
      <c r="A138" t="str">
        <f ca="1">IFERROR(__xludf.DUMMYFUNCTION("""COMPUTED_VALUE"""),"V-1-532")</f>
        <v>V-1-532</v>
      </c>
      <c r="B138" t="str">
        <f ca="1">IFERROR(__xludf.DUMMYFUNCTION("""COMPUTED_VALUE"""),"Урмазов")</f>
        <v>Урмазов</v>
      </c>
      <c r="C138" t="str">
        <f ca="1">IFERROR(__xludf.DUMMYFUNCTION("""COMPUTED_VALUE"""),"Дмитрий")</f>
        <v>Дмитрий</v>
      </c>
      <c r="D138" t="str">
        <f ca="1">IFERROR(__xludf.DUMMYFUNCTION("""COMPUTED_VALUE"""),"Лицей 393")</f>
        <v>Лицей 393</v>
      </c>
      <c r="E138" s="5">
        <f ca="1">IFERROR(__xludf.DUMMYFUNCTION("""COMPUTED_VALUE"""),2)</f>
        <v>2</v>
      </c>
      <c r="F138" s="5">
        <f ca="1">IFERROR(__xludf.DUMMYFUNCTION("""COMPUTED_VALUE"""),3)</f>
        <v>3</v>
      </c>
      <c r="G138" s="5">
        <f ca="1">IFERROR(__xludf.DUMMYFUNCTION("""COMPUTED_VALUE"""),3)</f>
        <v>3</v>
      </c>
      <c r="H138" s="5">
        <f ca="1">IFERROR(__xludf.DUMMYFUNCTION("""COMPUTED_VALUE"""),0)</f>
        <v>0</v>
      </c>
      <c r="I138" s="5">
        <f ca="1">IFERROR(__xludf.DUMMYFUNCTION("""COMPUTED_VALUE"""),0)</f>
        <v>0</v>
      </c>
      <c r="J138" s="5">
        <f ca="1">IFERROR(__xludf.DUMMYFUNCTION("""COMPUTED_VALUE"""),0)</f>
        <v>0</v>
      </c>
      <c r="K138" s="5">
        <f ca="1">IFERROR(__xludf.DUMMYFUNCTION("""COMPUTED_VALUE"""),0)</f>
        <v>0</v>
      </c>
      <c r="L138" s="5">
        <f ca="1">IFERROR(__xludf.DUMMYFUNCTION("""COMPUTED_VALUE"""),1)</f>
        <v>1</v>
      </c>
      <c r="M138">
        <f ca="1">IFERROR(__xludf.DUMMYFUNCTION("""COMPUTED_VALUE"""),9)</f>
        <v>9</v>
      </c>
      <c r="N138" s="8"/>
    </row>
    <row r="139" spans="1:14" ht="12.45" hidden="1">
      <c r="A139" t="str">
        <f ca="1">IFERROR(__xludf.DUMMYFUNCTION("""COMPUTED_VALUE"""),"III-1-262")</f>
        <v>III-1-262</v>
      </c>
      <c r="B139" t="str">
        <f ca="1">IFERROR(__xludf.DUMMYFUNCTION("""COMPUTED_VALUE"""),"Кочеватов")</f>
        <v>Кочеватов</v>
      </c>
      <c r="C139" t="str">
        <f ca="1">IFERROR(__xludf.DUMMYFUNCTION("""COMPUTED_VALUE"""),"Илья")</f>
        <v>Илья</v>
      </c>
      <c r="D139" t="str">
        <f ca="1">IFERROR(__xludf.DUMMYFUNCTION("""COMPUTED_VALUE"""),"Школа 246")</f>
        <v>Школа 246</v>
      </c>
      <c r="E139" s="5">
        <f ca="1">IFERROR(__xludf.DUMMYFUNCTION("""COMPUTED_VALUE"""),2)</f>
        <v>2</v>
      </c>
      <c r="F139" s="5">
        <f ca="1">IFERROR(__xludf.DUMMYFUNCTION("""COMPUTED_VALUE"""),3)</f>
        <v>3</v>
      </c>
      <c r="G139" s="5">
        <f ca="1">IFERROR(__xludf.DUMMYFUNCTION("""COMPUTED_VALUE"""),3)</f>
        <v>3</v>
      </c>
      <c r="H139" s="5">
        <f ca="1">IFERROR(__xludf.DUMMYFUNCTION("""COMPUTED_VALUE"""),0)</f>
        <v>0</v>
      </c>
      <c r="I139" s="5">
        <f ca="1">IFERROR(__xludf.DUMMYFUNCTION("""COMPUTED_VALUE"""),0)</f>
        <v>0</v>
      </c>
      <c r="J139" s="5">
        <f ca="1">IFERROR(__xludf.DUMMYFUNCTION("""COMPUTED_VALUE"""),0)</f>
        <v>0</v>
      </c>
      <c r="K139" s="5">
        <f ca="1">IFERROR(__xludf.DUMMYFUNCTION("""COMPUTED_VALUE"""),0)</f>
        <v>0</v>
      </c>
      <c r="L139" s="5">
        <f ca="1">IFERROR(__xludf.DUMMYFUNCTION("""COMPUTED_VALUE"""),1)</f>
        <v>1</v>
      </c>
      <c r="M139">
        <f ca="1">IFERROR(__xludf.DUMMYFUNCTION("""COMPUTED_VALUE"""),9)</f>
        <v>9</v>
      </c>
      <c r="N139" s="8"/>
    </row>
    <row r="140" spans="1:14" ht="12.45" hidden="1">
      <c r="A140" t="str">
        <f ca="1">IFERROR(__xludf.DUMMYFUNCTION("""COMPUTED_VALUE"""),"III-1-022")</f>
        <v>III-1-022</v>
      </c>
      <c r="B140" t="str">
        <f ca="1">IFERROR(__xludf.DUMMYFUNCTION("""COMPUTED_VALUE"""),"аникин")</f>
        <v>аникин</v>
      </c>
      <c r="C140" t="str">
        <f ca="1">IFERROR(__xludf.DUMMYFUNCTION("""COMPUTED_VALUE"""),"никита")</f>
        <v>никита</v>
      </c>
      <c r="D140" t="str">
        <f ca="1">IFERROR(__xludf.DUMMYFUNCTION("""COMPUTED_VALUE"""),"Школа 157")</f>
        <v>Школа 157</v>
      </c>
      <c r="E140" s="5">
        <f ca="1">IFERROR(__xludf.DUMMYFUNCTION("""COMPUTED_VALUE"""),2)</f>
        <v>2</v>
      </c>
      <c r="F140" s="5"/>
      <c r="G140" s="5">
        <f ca="1">IFERROR(__xludf.DUMMYFUNCTION("""COMPUTED_VALUE"""),3)</f>
        <v>3</v>
      </c>
      <c r="H140" s="5"/>
      <c r="I140" s="5">
        <f ca="1">IFERROR(__xludf.DUMMYFUNCTION("""COMPUTED_VALUE"""),0)</f>
        <v>0</v>
      </c>
      <c r="J140" s="5"/>
      <c r="K140" s="5">
        <f ca="1">IFERROR(__xludf.DUMMYFUNCTION("""COMPUTED_VALUE"""),4)</f>
        <v>4</v>
      </c>
      <c r="L140" s="5">
        <f ca="1">IFERROR(__xludf.DUMMYFUNCTION("""COMPUTED_VALUE"""),0)</f>
        <v>0</v>
      </c>
      <c r="M140">
        <f ca="1">IFERROR(__xludf.DUMMYFUNCTION("""COMPUTED_VALUE"""),9)</f>
        <v>9</v>
      </c>
      <c r="N140" s="8"/>
    </row>
    <row r="141" spans="1:14" ht="12.45" hidden="1">
      <c r="A141" t="str">
        <f ca="1">IFERROR(__xludf.DUMMYFUNCTION("""COMPUTED_VALUE"""),"V-1-570")</f>
        <v>V-1-570</v>
      </c>
      <c r="B141" t="str">
        <f ca="1">IFERROR(__xludf.DUMMYFUNCTION("""COMPUTED_VALUE"""),"Цакоева")</f>
        <v>Цакоева</v>
      </c>
      <c r="C141" t="str">
        <f ca="1">IFERROR(__xludf.DUMMYFUNCTION("""COMPUTED_VALUE"""),"Софья")</f>
        <v>Софья</v>
      </c>
      <c r="D141" t="str">
        <f ca="1">IFERROR(__xludf.DUMMYFUNCTION("""COMPUTED_VALUE"""),"Школа 106")</f>
        <v>Школа 106</v>
      </c>
      <c r="E141" s="5">
        <f ca="1">IFERROR(__xludf.DUMMYFUNCTION("""COMPUTED_VALUE"""),1)</f>
        <v>1</v>
      </c>
      <c r="F141" s="5">
        <f ca="1">IFERROR(__xludf.DUMMYFUNCTION("""COMPUTED_VALUE"""),0)</f>
        <v>0</v>
      </c>
      <c r="G141" s="5">
        <f ca="1">IFERROR(__xludf.DUMMYFUNCTION("""COMPUTED_VALUE"""),3)</f>
        <v>3</v>
      </c>
      <c r="H141" s="5">
        <f ca="1">IFERROR(__xludf.DUMMYFUNCTION("""COMPUTED_VALUE"""),0)</f>
        <v>0</v>
      </c>
      <c r="I141" s="5">
        <f ca="1">IFERROR(__xludf.DUMMYFUNCTION("""COMPUTED_VALUE"""),0)</f>
        <v>0</v>
      </c>
      <c r="J141" s="5">
        <f ca="1">IFERROR(__xludf.DUMMYFUNCTION("""COMPUTED_VALUE"""),0)</f>
        <v>0</v>
      </c>
      <c r="K141" s="5">
        <f ca="1">IFERROR(__xludf.DUMMYFUNCTION("""COMPUTED_VALUE"""),4)</f>
        <v>4</v>
      </c>
      <c r="L141" s="5">
        <f ca="1">IFERROR(__xludf.DUMMYFUNCTION("""COMPUTED_VALUE"""),1)</f>
        <v>1</v>
      </c>
      <c r="M141">
        <f ca="1">IFERROR(__xludf.DUMMYFUNCTION("""COMPUTED_VALUE"""),9)</f>
        <v>9</v>
      </c>
      <c r="N141" s="8"/>
    </row>
    <row r="142" spans="1:14" ht="12.45" hidden="1">
      <c r="A142" t="str">
        <f ca="1">IFERROR(__xludf.DUMMYFUNCTION("""COMPUTED_VALUE"""),"III-1-099")</f>
        <v>III-1-099</v>
      </c>
      <c r="B142" t="str">
        <f ca="1">IFERROR(__xludf.DUMMYFUNCTION("""COMPUTED_VALUE"""),"Вердиев")</f>
        <v>Вердиев</v>
      </c>
      <c r="C142" t="str">
        <f ca="1">IFERROR(__xludf.DUMMYFUNCTION("""COMPUTED_VALUE"""),"Марк")</f>
        <v>Марк</v>
      </c>
      <c r="D142" t="str">
        <f ca="1">IFERROR(__xludf.DUMMYFUNCTION("""COMPUTED_VALUE"""),"Гимназия 56")</f>
        <v>Гимназия 56</v>
      </c>
      <c r="E142" s="5">
        <f ca="1">IFERROR(__xludf.DUMMYFUNCTION("""COMPUTED_VALUE"""),2)</f>
        <v>2</v>
      </c>
      <c r="F142" s="5">
        <f ca="1">IFERROR(__xludf.DUMMYFUNCTION("""COMPUTED_VALUE"""),0)</f>
        <v>0</v>
      </c>
      <c r="G142" s="5">
        <f ca="1">IFERROR(__xludf.DUMMYFUNCTION("""COMPUTED_VALUE"""),3)</f>
        <v>3</v>
      </c>
      <c r="H142" s="5">
        <f ca="1">IFERROR(__xludf.DUMMYFUNCTION("""COMPUTED_VALUE"""),0)</f>
        <v>0</v>
      </c>
      <c r="I142" s="5">
        <f ca="1">IFERROR(__xludf.DUMMYFUNCTION("""COMPUTED_VALUE"""),0)</f>
        <v>0</v>
      </c>
      <c r="J142" s="5">
        <f ca="1">IFERROR(__xludf.DUMMYFUNCTION("""COMPUTED_VALUE"""),4)</f>
        <v>4</v>
      </c>
      <c r="K142" s="5">
        <f ca="1">IFERROR(__xludf.DUMMYFUNCTION("""COMPUTED_VALUE"""),0)</f>
        <v>0</v>
      </c>
      <c r="L142" s="5">
        <f ca="1">IFERROR(__xludf.DUMMYFUNCTION("""COMPUTED_VALUE"""),0)</f>
        <v>0</v>
      </c>
      <c r="M142">
        <f ca="1">IFERROR(__xludf.DUMMYFUNCTION("""COMPUTED_VALUE"""),9)</f>
        <v>9</v>
      </c>
      <c r="N142" s="8"/>
    </row>
    <row r="143" spans="1:14" ht="12.45" hidden="1">
      <c r="A143" t="str">
        <f ca="1">IFERROR(__xludf.DUMMYFUNCTION("""COMPUTED_VALUE"""),"V-1-334")</f>
        <v>V-1-334</v>
      </c>
      <c r="B143" t="str">
        <f ca="1">IFERROR(__xludf.DUMMYFUNCTION("""COMPUTED_VALUE"""),"Михаленя")</f>
        <v>Михаленя</v>
      </c>
      <c r="C143" t="str">
        <f ca="1">IFERROR(__xludf.DUMMYFUNCTION("""COMPUTED_VALUE"""),"Злата")</f>
        <v>Злата</v>
      </c>
      <c r="D143" t="str">
        <f ca="1">IFERROR(__xludf.DUMMYFUNCTION("""COMPUTED_VALUE"""),"Гимназия Академическая гимназия 56")</f>
        <v>Гимназия Академическая гимназия 56</v>
      </c>
      <c r="E143" s="5">
        <f ca="1">IFERROR(__xludf.DUMMYFUNCTION("""COMPUTED_VALUE"""),2)</f>
        <v>2</v>
      </c>
      <c r="F143" s="5">
        <f ca="1">IFERROR(__xludf.DUMMYFUNCTION("""COMPUTED_VALUE"""),3)</f>
        <v>3</v>
      </c>
      <c r="G143" s="5">
        <f ca="1">IFERROR(__xludf.DUMMYFUNCTION("""COMPUTED_VALUE"""),3)</f>
        <v>3</v>
      </c>
      <c r="H143" s="5">
        <f ca="1">IFERROR(__xludf.DUMMYFUNCTION("""COMPUTED_VALUE"""),0)</f>
        <v>0</v>
      </c>
      <c r="I143" s="5">
        <f ca="1">IFERROR(__xludf.DUMMYFUNCTION("""COMPUTED_VALUE"""),0)</f>
        <v>0</v>
      </c>
      <c r="J143" s="5">
        <f ca="1">IFERROR(__xludf.DUMMYFUNCTION("""COMPUTED_VALUE"""),0)</f>
        <v>0</v>
      </c>
      <c r="K143" s="5">
        <f ca="1">IFERROR(__xludf.DUMMYFUNCTION("""COMPUTED_VALUE"""),0)</f>
        <v>0</v>
      </c>
      <c r="L143" s="5">
        <f ca="1">IFERROR(__xludf.DUMMYFUNCTION("""COMPUTED_VALUE"""),1)</f>
        <v>1</v>
      </c>
      <c r="M143">
        <f ca="1">IFERROR(__xludf.DUMMYFUNCTION("""COMPUTED_VALUE"""),9)</f>
        <v>9</v>
      </c>
      <c r="N143" s="8"/>
    </row>
    <row r="144" spans="1:14" ht="12.45" hidden="1">
      <c r="A144" t="str">
        <f ca="1">IFERROR(__xludf.DUMMYFUNCTION("""COMPUTED_VALUE"""),"V-1-497")</f>
        <v>V-1-497</v>
      </c>
      <c r="B144" t="str">
        <f ca="1">IFERROR(__xludf.DUMMYFUNCTION("""COMPUTED_VALUE"""),"Столяров")</f>
        <v>Столяров</v>
      </c>
      <c r="C144" t="str">
        <f ca="1">IFERROR(__xludf.DUMMYFUNCTION("""COMPUTED_VALUE"""),"Вадим")</f>
        <v>Вадим</v>
      </c>
      <c r="D144" t="str">
        <f ca="1">IFERROR(__xludf.DUMMYFUNCTION("""COMPUTED_VALUE"""),"Школа 489")</f>
        <v>Школа 489</v>
      </c>
      <c r="E144" s="5">
        <f ca="1">IFERROR(__xludf.DUMMYFUNCTION("""COMPUTED_VALUE"""),1)</f>
        <v>1</v>
      </c>
      <c r="F144" s="5">
        <f ca="1">IFERROR(__xludf.DUMMYFUNCTION("""COMPUTED_VALUE"""),3)</f>
        <v>3</v>
      </c>
      <c r="G144" s="5">
        <f ca="1">IFERROR(__xludf.DUMMYFUNCTION("""COMPUTED_VALUE"""),0)</f>
        <v>0</v>
      </c>
      <c r="H144" s="5">
        <f ca="1">IFERROR(__xludf.DUMMYFUNCTION("""COMPUTED_VALUE"""),0)</f>
        <v>0</v>
      </c>
      <c r="I144" s="5">
        <f ca="1">IFERROR(__xludf.DUMMYFUNCTION("""COMPUTED_VALUE"""),0)</f>
        <v>0</v>
      </c>
      <c r="J144" s="5">
        <f ca="1">IFERROR(__xludf.DUMMYFUNCTION("""COMPUTED_VALUE"""),4)</f>
        <v>4</v>
      </c>
      <c r="K144" s="5">
        <f ca="1">IFERROR(__xludf.DUMMYFUNCTION("""COMPUTED_VALUE"""),0)</f>
        <v>0</v>
      </c>
      <c r="L144" s="5">
        <f ca="1">IFERROR(__xludf.DUMMYFUNCTION("""COMPUTED_VALUE"""),1)</f>
        <v>1</v>
      </c>
      <c r="M144">
        <f ca="1">IFERROR(__xludf.DUMMYFUNCTION("""COMPUTED_VALUE"""),9)</f>
        <v>9</v>
      </c>
      <c r="N144" s="8"/>
    </row>
    <row r="145" spans="1:14" ht="12.45" hidden="1">
      <c r="A145" t="str">
        <f ca="1">IFERROR(__xludf.DUMMYFUNCTION("""COMPUTED_VALUE"""),"III-1-155")</f>
        <v>III-1-155</v>
      </c>
      <c r="B145" t="str">
        <f ca="1">IFERROR(__xludf.DUMMYFUNCTION("""COMPUTED_VALUE"""),"Дедушев")</f>
        <v>Дедушев</v>
      </c>
      <c r="C145" t="str">
        <f ca="1">IFERROR(__xludf.DUMMYFUNCTION("""COMPUTED_VALUE"""),"Михаил")</f>
        <v>Михаил</v>
      </c>
      <c r="D145" t="str">
        <f ca="1">IFERROR(__xludf.DUMMYFUNCTION("""COMPUTED_VALUE"""),"Гимназия 642")</f>
        <v>Гимназия 642</v>
      </c>
      <c r="E145" s="5">
        <f ca="1">IFERROR(__xludf.DUMMYFUNCTION("""COMPUTED_VALUE"""),2)</f>
        <v>2</v>
      </c>
      <c r="F145" s="5">
        <f ca="1">IFERROR(__xludf.DUMMYFUNCTION("""COMPUTED_VALUE"""),3)</f>
        <v>3</v>
      </c>
      <c r="G145" s="5">
        <f ca="1">IFERROR(__xludf.DUMMYFUNCTION("""COMPUTED_VALUE"""),3)</f>
        <v>3</v>
      </c>
      <c r="H145" s="5">
        <f ca="1">IFERROR(__xludf.DUMMYFUNCTION("""COMPUTED_VALUE"""),0)</f>
        <v>0</v>
      </c>
      <c r="I145" s="5">
        <f ca="1">IFERROR(__xludf.DUMMYFUNCTION("""COMPUTED_VALUE"""),0)</f>
        <v>0</v>
      </c>
      <c r="J145" s="5">
        <f ca="1">IFERROR(__xludf.DUMMYFUNCTION("""COMPUTED_VALUE"""),0)</f>
        <v>0</v>
      </c>
      <c r="K145" s="5">
        <f ca="1">IFERROR(__xludf.DUMMYFUNCTION("""COMPUTED_VALUE"""),0)</f>
        <v>0</v>
      </c>
      <c r="L145" s="5">
        <f ca="1">IFERROR(__xludf.DUMMYFUNCTION("""COMPUTED_VALUE"""),1)</f>
        <v>1</v>
      </c>
      <c r="M145">
        <f ca="1">IFERROR(__xludf.DUMMYFUNCTION("""COMPUTED_VALUE"""),9)</f>
        <v>9</v>
      </c>
      <c r="N145" s="8"/>
    </row>
    <row r="146" spans="1:14" ht="12.45" hidden="1">
      <c r="A146" t="str">
        <f ca="1">IFERROR(__xludf.DUMMYFUNCTION("""COMPUTED_VALUE"""),"III-1-124")</f>
        <v>III-1-124</v>
      </c>
      <c r="B146" t="str">
        <f ca="1">IFERROR(__xludf.DUMMYFUNCTION("""COMPUTED_VALUE"""),"Гатило")</f>
        <v>Гатило</v>
      </c>
      <c r="C146" t="str">
        <f ca="1">IFERROR(__xludf.DUMMYFUNCTION("""COMPUTED_VALUE"""),"Глеб")</f>
        <v>Глеб</v>
      </c>
      <c r="D146" t="str">
        <f ca="1">IFERROR(__xludf.DUMMYFUNCTION("""COMPUTED_VALUE"""),"Школа 292")</f>
        <v>Школа 292</v>
      </c>
      <c r="E146" s="5">
        <f ca="1">IFERROR(__xludf.DUMMYFUNCTION("""COMPUTED_VALUE"""),2)</f>
        <v>2</v>
      </c>
      <c r="F146" s="5">
        <f ca="1">IFERROR(__xludf.DUMMYFUNCTION("""COMPUTED_VALUE"""),3)</f>
        <v>3</v>
      </c>
      <c r="G146" s="5">
        <f ca="1">IFERROR(__xludf.DUMMYFUNCTION("""COMPUTED_VALUE"""),3)</f>
        <v>3</v>
      </c>
      <c r="H146" s="5">
        <f ca="1">IFERROR(__xludf.DUMMYFUNCTION("""COMPUTED_VALUE"""),0)</f>
        <v>0</v>
      </c>
      <c r="I146" s="5"/>
      <c r="J146" s="5">
        <f ca="1">IFERROR(__xludf.DUMMYFUNCTION("""COMPUTED_VALUE"""),0)</f>
        <v>0</v>
      </c>
      <c r="K146" s="5"/>
      <c r="L146" s="5">
        <f ca="1">IFERROR(__xludf.DUMMYFUNCTION("""COMPUTED_VALUE"""),1)</f>
        <v>1</v>
      </c>
      <c r="M146">
        <f ca="1">IFERROR(__xludf.DUMMYFUNCTION("""COMPUTED_VALUE"""),9)</f>
        <v>9</v>
      </c>
      <c r="N146" s="8"/>
    </row>
    <row r="147" spans="1:14" ht="12.45" hidden="1">
      <c r="A147" t="str">
        <f ca="1">IFERROR(__xludf.DUMMYFUNCTION("""COMPUTED_VALUE"""),"V-1-511")</f>
        <v>V-1-511</v>
      </c>
      <c r="B147" t="str">
        <f ca="1">IFERROR(__xludf.DUMMYFUNCTION("""COMPUTED_VALUE"""),"Тарасенко")</f>
        <v>Тарасенко</v>
      </c>
      <c r="C147" t="str">
        <f ca="1">IFERROR(__xludf.DUMMYFUNCTION("""COMPUTED_VALUE"""),"Глеб")</f>
        <v>Глеб</v>
      </c>
      <c r="D147" t="str">
        <f ca="1">IFERROR(__xludf.DUMMYFUNCTION("""COMPUTED_VALUE"""),"Гимназия 498")</f>
        <v>Гимназия 498</v>
      </c>
      <c r="E147" s="5">
        <f ca="1">IFERROR(__xludf.DUMMYFUNCTION("""COMPUTED_VALUE"""),2)</f>
        <v>2</v>
      </c>
      <c r="F147" s="5">
        <f ca="1">IFERROR(__xludf.DUMMYFUNCTION("""COMPUTED_VALUE"""),3)</f>
        <v>3</v>
      </c>
      <c r="G147" s="5">
        <f ca="1">IFERROR(__xludf.DUMMYFUNCTION("""COMPUTED_VALUE"""),3)</f>
        <v>3</v>
      </c>
      <c r="H147" s="5">
        <f ca="1">IFERROR(__xludf.DUMMYFUNCTION("""COMPUTED_VALUE"""),0)</f>
        <v>0</v>
      </c>
      <c r="I147" s="5">
        <f ca="1">IFERROR(__xludf.DUMMYFUNCTION("""COMPUTED_VALUE"""),0)</f>
        <v>0</v>
      </c>
      <c r="J147" s="5">
        <f ca="1">IFERROR(__xludf.DUMMYFUNCTION("""COMPUTED_VALUE"""),1)</f>
        <v>1</v>
      </c>
      <c r="K147" s="5">
        <f ca="1">IFERROR(__xludf.DUMMYFUNCTION("""COMPUTED_VALUE"""),0)</f>
        <v>0</v>
      </c>
      <c r="L147" s="5">
        <f ca="1">IFERROR(__xludf.DUMMYFUNCTION("""COMPUTED_VALUE"""),0)</f>
        <v>0</v>
      </c>
      <c r="M147">
        <f ca="1">IFERROR(__xludf.DUMMYFUNCTION("""COMPUTED_VALUE"""),9)</f>
        <v>9</v>
      </c>
      <c r="N147" s="8"/>
    </row>
    <row r="148" spans="1:14" ht="12.45" hidden="1">
      <c r="A148" t="str">
        <f ca="1">IFERROR(__xludf.DUMMYFUNCTION("""COMPUTED_VALUE"""),"III-1-274")</f>
        <v>III-1-274</v>
      </c>
      <c r="B148" t="str">
        <f ca="1">IFERROR(__xludf.DUMMYFUNCTION("""COMPUTED_VALUE"""),"Кузенкова")</f>
        <v>Кузенкова</v>
      </c>
      <c r="C148" t="str">
        <f ca="1">IFERROR(__xludf.DUMMYFUNCTION("""COMPUTED_VALUE"""),"Варварв")</f>
        <v>Варварв</v>
      </c>
      <c r="D148" t="str">
        <f ca="1">IFERROR(__xludf.DUMMYFUNCTION("""COMPUTED_VALUE"""),"Гимназия 248")</f>
        <v>Гимназия 248</v>
      </c>
      <c r="E148" s="5">
        <f ca="1">IFERROR(__xludf.DUMMYFUNCTION("""COMPUTED_VALUE"""),1)</f>
        <v>1</v>
      </c>
      <c r="F148" s="5">
        <f ca="1">IFERROR(__xludf.DUMMYFUNCTION("""COMPUTED_VALUE"""),0)</f>
        <v>0</v>
      </c>
      <c r="G148" s="5">
        <f ca="1">IFERROR(__xludf.DUMMYFUNCTION("""COMPUTED_VALUE"""),3)</f>
        <v>3</v>
      </c>
      <c r="H148" s="5">
        <f ca="1">IFERROR(__xludf.DUMMYFUNCTION("""COMPUTED_VALUE"""),0)</f>
        <v>0</v>
      </c>
      <c r="I148" s="5">
        <f ca="1">IFERROR(__xludf.DUMMYFUNCTION("""COMPUTED_VALUE"""),0)</f>
        <v>0</v>
      </c>
      <c r="J148" s="5">
        <f ca="1">IFERROR(__xludf.DUMMYFUNCTION("""COMPUTED_VALUE"""),4)</f>
        <v>4</v>
      </c>
      <c r="K148" s="5">
        <f ca="1">IFERROR(__xludf.DUMMYFUNCTION("""COMPUTED_VALUE"""),0)</f>
        <v>0</v>
      </c>
      <c r="L148" s="5">
        <f ca="1">IFERROR(__xludf.DUMMYFUNCTION("""COMPUTED_VALUE"""),1)</f>
        <v>1</v>
      </c>
      <c r="M148">
        <f ca="1">IFERROR(__xludf.DUMMYFUNCTION("""COMPUTED_VALUE"""),9)</f>
        <v>9</v>
      </c>
      <c r="N148" s="8"/>
    </row>
    <row r="149" spans="1:14" ht="12.45" hidden="1">
      <c r="A149" t="str">
        <f ca="1">IFERROR(__xludf.DUMMYFUNCTION("""COMPUTED_VALUE"""),"V-1-339")</f>
        <v>V-1-339</v>
      </c>
      <c r="B149" t="str">
        <f ca="1">IFERROR(__xludf.DUMMYFUNCTION("""COMPUTED_VALUE"""),"Моховиков")</f>
        <v>Моховиков</v>
      </c>
      <c r="C149" t="str">
        <f ca="1">IFERROR(__xludf.DUMMYFUNCTION("""COMPUTED_VALUE"""),"Денис")</f>
        <v>Денис</v>
      </c>
      <c r="D149" t="str">
        <f ca="1">IFERROR(__xludf.DUMMYFUNCTION("""COMPUTED_VALUE"""),"Школа 403")</f>
        <v>Школа 403</v>
      </c>
      <c r="E149" s="5">
        <f ca="1">IFERROR(__xludf.DUMMYFUNCTION("""COMPUTED_VALUE"""),2)</f>
        <v>2</v>
      </c>
      <c r="F149" s="5"/>
      <c r="G149" s="5">
        <f ca="1">IFERROR(__xludf.DUMMYFUNCTION("""COMPUTED_VALUE"""),3)</f>
        <v>3</v>
      </c>
      <c r="H149" s="5">
        <f ca="1">IFERROR(__xludf.DUMMYFUNCTION("""COMPUTED_VALUE"""),0)</f>
        <v>0</v>
      </c>
      <c r="I149" s="5">
        <f ca="1">IFERROR(__xludf.DUMMYFUNCTION("""COMPUTED_VALUE"""),0)</f>
        <v>0</v>
      </c>
      <c r="J149" s="5">
        <f ca="1">IFERROR(__xludf.DUMMYFUNCTION("""COMPUTED_VALUE"""),0)</f>
        <v>0</v>
      </c>
      <c r="K149" s="5">
        <f ca="1">IFERROR(__xludf.DUMMYFUNCTION("""COMPUTED_VALUE"""),4)</f>
        <v>4</v>
      </c>
      <c r="L149" s="5">
        <f ca="1">IFERROR(__xludf.DUMMYFUNCTION("""COMPUTED_VALUE"""),0)</f>
        <v>0</v>
      </c>
      <c r="M149">
        <f ca="1">IFERROR(__xludf.DUMMYFUNCTION("""COMPUTED_VALUE"""),9)</f>
        <v>9</v>
      </c>
      <c r="N149" s="8"/>
    </row>
    <row r="150" spans="1:14" ht="12.45" hidden="1">
      <c r="A150" t="str">
        <f ca="1">IFERROR(__xludf.DUMMYFUNCTION("""COMPUTED_VALUE"""),"V-1-394")</f>
        <v>V-1-394</v>
      </c>
      <c r="B150" t="str">
        <f ca="1">IFERROR(__xludf.DUMMYFUNCTION("""COMPUTED_VALUE"""),"Петрова")</f>
        <v>Петрова</v>
      </c>
      <c r="C150" t="str">
        <f ca="1">IFERROR(__xludf.DUMMYFUNCTION("""COMPUTED_VALUE"""),"Кристина")</f>
        <v>Кристина</v>
      </c>
      <c r="D150" t="str">
        <f ca="1">IFERROR(__xludf.DUMMYFUNCTION("""COMPUTED_VALUE"""),"Школа 106")</f>
        <v>Школа 106</v>
      </c>
      <c r="E150" s="5">
        <f ca="1">IFERROR(__xludf.DUMMYFUNCTION("""COMPUTED_VALUE"""),1)</f>
        <v>1</v>
      </c>
      <c r="F150" s="5">
        <f ca="1">IFERROR(__xludf.DUMMYFUNCTION("""COMPUTED_VALUE"""),0)</f>
        <v>0</v>
      </c>
      <c r="G150" s="5">
        <f ca="1">IFERROR(__xludf.DUMMYFUNCTION("""COMPUTED_VALUE"""),3)</f>
        <v>3</v>
      </c>
      <c r="H150" s="5">
        <f ca="1">IFERROR(__xludf.DUMMYFUNCTION("""COMPUTED_VALUE"""),0)</f>
        <v>0</v>
      </c>
      <c r="I150" s="5">
        <f ca="1">IFERROR(__xludf.DUMMYFUNCTION("""COMPUTED_VALUE"""),0)</f>
        <v>0</v>
      </c>
      <c r="J150" s="5">
        <f ca="1">IFERROR(__xludf.DUMMYFUNCTION("""COMPUTED_VALUE"""),4)</f>
        <v>4</v>
      </c>
      <c r="K150" s="5">
        <f ca="1">IFERROR(__xludf.DUMMYFUNCTION("""COMPUTED_VALUE"""),0)</f>
        <v>0</v>
      </c>
      <c r="L150" s="5">
        <f ca="1">IFERROR(__xludf.DUMMYFUNCTION("""COMPUTED_VALUE"""),1)</f>
        <v>1</v>
      </c>
      <c r="M150">
        <f ca="1">IFERROR(__xludf.DUMMYFUNCTION("""COMPUTED_VALUE"""),9)</f>
        <v>9</v>
      </c>
      <c r="N150" s="8"/>
    </row>
    <row r="151" spans="1:14" ht="12.45" hidden="1">
      <c r="A151" t="str">
        <f ca="1">IFERROR(__xludf.DUMMYFUNCTION("""COMPUTED_VALUE"""),"V-1-364")</f>
        <v>V-1-364</v>
      </c>
      <c r="B151" t="str">
        <f ca="1">IFERROR(__xludf.DUMMYFUNCTION("""COMPUTED_VALUE"""),"Носов")</f>
        <v>Носов</v>
      </c>
      <c r="C151" t="str">
        <f ca="1">IFERROR(__xludf.DUMMYFUNCTION("""COMPUTED_VALUE"""),"Максим")</f>
        <v>Максим</v>
      </c>
      <c r="D151" t="str">
        <f ca="1">IFERROR(__xludf.DUMMYFUNCTION("""COMPUTED_VALUE"""),"Школа 100")</f>
        <v>Школа 100</v>
      </c>
      <c r="E151" s="5">
        <f ca="1">IFERROR(__xludf.DUMMYFUNCTION("""COMPUTED_VALUE"""),1)</f>
        <v>1</v>
      </c>
      <c r="F151" s="5">
        <f ca="1">IFERROR(__xludf.DUMMYFUNCTION("""COMPUTED_VALUE"""),0)</f>
        <v>0</v>
      </c>
      <c r="G151" s="5">
        <f ca="1">IFERROR(__xludf.DUMMYFUNCTION("""COMPUTED_VALUE"""),3)</f>
        <v>3</v>
      </c>
      <c r="H151" s="5">
        <f ca="1">IFERROR(__xludf.DUMMYFUNCTION("""COMPUTED_VALUE"""),0)</f>
        <v>0</v>
      </c>
      <c r="I151" s="5">
        <f ca="1">IFERROR(__xludf.DUMMYFUNCTION("""COMPUTED_VALUE"""),0)</f>
        <v>0</v>
      </c>
      <c r="J151" s="5">
        <f ca="1">IFERROR(__xludf.DUMMYFUNCTION("""COMPUTED_VALUE"""),4)</f>
        <v>4</v>
      </c>
      <c r="K151" s="5">
        <f ca="1">IFERROR(__xludf.DUMMYFUNCTION("""COMPUTED_VALUE"""),0)</f>
        <v>0</v>
      </c>
      <c r="L151" s="5">
        <f ca="1">IFERROR(__xludf.DUMMYFUNCTION("""COMPUTED_VALUE"""),1)</f>
        <v>1</v>
      </c>
      <c r="M151">
        <f ca="1">IFERROR(__xludf.DUMMYFUNCTION("""COMPUTED_VALUE"""),9)</f>
        <v>9</v>
      </c>
      <c r="N151" s="8"/>
    </row>
    <row r="152" spans="1:14" ht="12.45" hidden="1">
      <c r="A152" t="str">
        <f ca="1">IFERROR(__xludf.DUMMYFUNCTION("""COMPUTED_VALUE"""),"V-1-603")</f>
        <v>V-1-603</v>
      </c>
      <c r="B152" t="str">
        <f ca="1">IFERROR(__xludf.DUMMYFUNCTION("""COMPUTED_VALUE"""),"Шувалова")</f>
        <v>Шувалова</v>
      </c>
      <c r="C152" t="str">
        <f ca="1">IFERROR(__xludf.DUMMYFUNCTION("""COMPUTED_VALUE"""),"Алёна")</f>
        <v>Алёна</v>
      </c>
      <c r="D152" t="str">
        <f ca="1">IFERROR(__xludf.DUMMYFUNCTION("""COMPUTED_VALUE"""),"Гимназия 652")</f>
        <v>Гимназия 652</v>
      </c>
      <c r="E152" s="5">
        <f ca="1">IFERROR(__xludf.DUMMYFUNCTION("""COMPUTED_VALUE"""),0)</f>
        <v>0</v>
      </c>
      <c r="F152" s="5">
        <f ca="1">IFERROR(__xludf.DUMMYFUNCTION("""COMPUTED_VALUE"""),3)</f>
        <v>3</v>
      </c>
      <c r="G152" s="5"/>
      <c r="H152" s="5"/>
      <c r="I152" s="5">
        <f ca="1">IFERROR(__xludf.DUMMYFUNCTION("""COMPUTED_VALUE"""),1)</f>
        <v>1</v>
      </c>
      <c r="J152" s="5"/>
      <c r="K152" s="5">
        <f ca="1">IFERROR(__xludf.DUMMYFUNCTION("""COMPUTED_VALUE"""),4)</f>
        <v>4</v>
      </c>
      <c r="L152" s="5">
        <f ca="1">IFERROR(__xludf.DUMMYFUNCTION("""COMPUTED_VALUE"""),1)</f>
        <v>1</v>
      </c>
      <c r="M152">
        <f ca="1">IFERROR(__xludf.DUMMYFUNCTION("""COMPUTED_VALUE"""),9)</f>
        <v>9</v>
      </c>
      <c r="N152" s="8"/>
    </row>
    <row r="153" spans="1:14" ht="12.45" hidden="1">
      <c r="A153" t="str">
        <f ca="1">IFERROR(__xludf.DUMMYFUNCTION("""COMPUTED_VALUE"""),"V-1-595")</f>
        <v>V-1-595</v>
      </c>
      <c r="B153" t="str">
        <f ca="1">IFERROR(__xludf.DUMMYFUNCTION("""COMPUTED_VALUE"""),"Шеренец")</f>
        <v>Шеренец</v>
      </c>
      <c r="C153" t="str">
        <f ca="1">IFERROR(__xludf.DUMMYFUNCTION("""COMPUTED_VALUE"""),"Лилиана")</f>
        <v>Лилиана</v>
      </c>
      <c r="D153" t="str">
        <f ca="1">IFERROR(__xludf.DUMMYFUNCTION("""COMPUTED_VALUE"""),"Лицей 369")</f>
        <v>Лицей 369</v>
      </c>
      <c r="E153" s="5">
        <f ca="1">IFERROR(__xludf.DUMMYFUNCTION("""COMPUTED_VALUE"""),2)</f>
        <v>2</v>
      </c>
      <c r="F153" s="5">
        <f ca="1">IFERROR(__xludf.DUMMYFUNCTION("""COMPUTED_VALUE"""),0)</f>
        <v>0</v>
      </c>
      <c r="G153" s="5">
        <f ca="1">IFERROR(__xludf.DUMMYFUNCTION("""COMPUTED_VALUE"""),3)</f>
        <v>3</v>
      </c>
      <c r="H153" s="5">
        <f ca="1">IFERROR(__xludf.DUMMYFUNCTION("""COMPUTED_VALUE"""),1)</f>
        <v>1</v>
      </c>
      <c r="I153" s="5">
        <f ca="1">IFERROR(__xludf.DUMMYFUNCTION("""COMPUTED_VALUE"""),2)</f>
        <v>2</v>
      </c>
      <c r="J153" s="5">
        <f ca="1">IFERROR(__xludf.DUMMYFUNCTION("""COMPUTED_VALUE"""),0)</f>
        <v>0</v>
      </c>
      <c r="K153" s="5"/>
      <c r="L153" s="5">
        <f ca="1">IFERROR(__xludf.DUMMYFUNCTION("""COMPUTED_VALUE"""),1)</f>
        <v>1</v>
      </c>
      <c r="M153">
        <f ca="1">IFERROR(__xludf.DUMMYFUNCTION("""COMPUTED_VALUE"""),9)</f>
        <v>9</v>
      </c>
      <c r="N153" s="8"/>
    </row>
    <row r="154" spans="1:14" ht="12.45" hidden="1">
      <c r="A154" t="str">
        <f ca="1">IFERROR(__xludf.DUMMYFUNCTION("""COMPUTED_VALUE"""),"III-1-269")</f>
        <v>III-1-269</v>
      </c>
      <c r="B154" t="str">
        <f ca="1">IFERROR(__xludf.DUMMYFUNCTION("""COMPUTED_VALUE"""),"Крылова")</f>
        <v>Крылова</v>
      </c>
      <c r="C154" t="str">
        <f ca="1">IFERROR(__xludf.DUMMYFUNCTION("""COMPUTED_VALUE"""),"Варвара")</f>
        <v>Варвара</v>
      </c>
      <c r="D154" t="str">
        <f ca="1">IFERROR(__xludf.DUMMYFUNCTION("""COMPUTED_VALUE"""),"Лицей 150")</f>
        <v>Лицей 150</v>
      </c>
      <c r="E154" s="5">
        <f ca="1">IFERROR(__xludf.DUMMYFUNCTION("""COMPUTED_VALUE"""),2)</f>
        <v>2</v>
      </c>
      <c r="F154" s="5">
        <f ca="1">IFERROR(__xludf.DUMMYFUNCTION("""COMPUTED_VALUE"""),3)</f>
        <v>3</v>
      </c>
      <c r="G154" s="5">
        <f ca="1">IFERROR(__xludf.DUMMYFUNCTION("""COMPUTED_VALUE"""),3)</f>
        <v>3</v>
      </c>
      <c r="H154" s="5">
        <f ca="1">IFERROR(__xludf.DUMMYFUNCTION("""COMPUTED_VALUE"""),0)</f>
        <v>0</v>
      </c>
      <c r="I154" s="5">
        <f ca="1">IFERROR(__xludf.DUMMYFUNCTION("""COMPUTED_VALUE"""),0)</f>
        <v>0</v>
      </c>
      <c r="J154" s="5">
        <f ca="1">IFERROR(__xludf.DUMMYFUNCTION("""COMPUTED_VALUE"""),0)</f>
        <v>0</v>
      </c>
      <c r="K154" s="5">
        <f ca="1">IFERROR(__xludf.DUMMYFUNCTION("""COMPUTED_VALUE"""),0)</f>
        <v>0</v>
      </c>
      <c r="L154" s="5">
        <f ca="1">IFERROR(__xludf.DUMMYFUNCTION("""COMPUTED_VALUE"""),1)</f>
        <v>1</v>
      </c>
      <c r="M154">
        <f ca="1">IFERROR(__xludf.DUMMYFUNCTION("""COMPUTED_VALUE"""),9)</f>
        <v>9</v>
      </c>
      <c r="N154" s="8"/>
    </row>
    <row r="155" spans="1:14" ht="12.45" hidden="1">
      <c r="A155" t="str">
        <f ca="1">IFERROR(__xludf.DUMMYFUNCTION("""COMPUTED_VALUE"""),"III-1-093")</f>
        <v>III-1-093</v>
      </c>
      <c r="B155" t="str">
        <f ca="1">IFERROR(__xludf.DUMMYFUNCTION("""COMPUTED_VALUE"""),"Васильева")</f>
        <v>Васильева</v>
      </c>
      <c r="C155" t="str">
        <f ca="1">IFERROR(__xludf.DUMMYFUNCTION("""COMPUTED_VALUE"""),"Полина")</f>
        <v>Полина</v>
      </c>
      <c r="D155" t="str">
        <f ca="1">IFERROR(__xludf.DUMMYFUNCTION("""COMPUTED_VALUE"""),"Школа 630")</f>
        <v>Школа 630</v>
      </c>
      <c r="E155" s="5">
        <f ca="1">IFERROR(__xludf.DUMMYFUNCTION("""COMPUTED_VALUE"""),2)</f>
        <v>2</v>
      </c>
      <c r="F155" s="5">
        <f ca="1">IFERROR(__xludf.DUMMYFUNCTION("""COMPUTED_VALUE"""),3)</f>
        <v>3</v>
      </c>
      <c r="G155" s="5">
        <f ca="1">IFERROR(__xludf.DUMMYFUNCTION("""COMPUTED_VALUE"""),3)</f>
        <v>3</v>
      </c>
      <c r="H155" s="5">
        <f ca="1">IFERROR(__xludf.DUMMYFUNCTION("""COMPUTED_VALUE"""),1)</f>
        <v>1</v>
      </c>
      <c r="I155" s="5">
        <f ca="1">IFERROR(__xludf.DUMMYFUNCTION("""COMPUTED_VALUE"""),0)</f>
        <v>0</v>
      </c>
      <c r="J155" s="5">
        <f ca="1">IFERROR(__xludf.DUMMYFUNCTION("""COMPUTED_VALUE"""),0)</f>
        <v>0</v>
      </c>
      <c r="K155" s="5">
        <f ca="1">IFERROR(__xludf.DUMMYFUNCTION("""COMPUTED_VALUE"""),0)</f>
        <v>0</v>
      </c>
      <c r="L155" s="5">
        <f ca="1">IFERROR(__xludf.DUMMYFUNCTION("""COMPUTED_VALUE"""),0)</f>
        <v>0</v>
      </c>
      <c r="M155">
        <f ca="1">IFERROR(__xludf.DUMMYFUNCTION("""COMPUTED_VALUE"""),9)</f>
        <v>9</v>
      </c>
      <c r="N155" s="8"/>
    </row>
    <row r="156" spans="1:14" ht="12.45" hidden="1">
      <c r="A156" t="str">
        <f ca="1">IFERROR(__xludf.DUMMYFUNCTION("""COMPUTED_VALUE"""),"V-1-479")</f>
        <v>V-1-479</v>
      </c>
      <c r="B156" t="str">
        <f ca="1">IFERROR(__xludf.DUMMYFUNCTION("""COMPUTED_VALUE"""),"Смирнова")</f>
        <v>Смирнова</v>
      </c>
      <c r="C156" t="str">
        <f ca="1">IFERROR(__xludf.DUMMYFUNCTION("""COMPUTED_VALUE"""),"Анна")</f>
        <v>Анна</v>
      </c>
      <c r="D156" t="str">
        <f ca="1">IFERROR(__xludf.DUMMYFUNCTION("""COMPUTED_VALUE"""),"Школа Петришуле 222")</f>
        <v>Школа Петришуле 222</v>
      </c>
      <c r="E156" s="5">
        <f ca="1">IFERROR(__xludf.DUMMYFUNCTION("""COMPUTED_VALUE"""),1)</f>
        <v>1</v>
      </c>
      <c r="F156" s="5"/>
      <c r="G156" s="5">
        <f ca="1">IFERROR(__xludf.DUMMYFUNCTION("""COMPUTED_VALUE"""),3)</f>
        <v>3</v>
      </c>
      <c r="H156" s="5">
        <f ca="1">IFERROR(__xludf.DUMMYFUNCTION("""COMPUTED_VALUE"""),0)</f>
        <v>0</v>
      </c>
      <c r="I156" s="5"/>
      <c r="J156" s="5">
        <f ca="1">IFERROR(__xludf.DUMMYFUNCTION("""COMPUTED_VALUE"""),0)</f>
        <v>0</v>
      </c>
      <c r="K156" s="5">
        <f ca="1">IFERROR(__xludf.DUMMYFUNCTION("""COMPUTED_VALUE"""),4)</f>
        <v>4</v>
      </c>
      <c r="L156" s="5">
        <f ca="1">IFERROR(__xludf.DUMMYFUNCTION("""COMPUTED_VALUE"""),1)</f>
        <v>1</v>
      </c>
      <c r="M156">
        <f ca="1">IFERROR(__xludf.DUMMYFUNCTION("""COMPUTED_VALUE"""),9)</f>
        <v>9</v>
      </c>
      <c r="N156" s="8"/>
    </row>
    <row r="157" spans="1:14" ht="12.45" hidden="1">
      <c r="A157" t="str">
        <f ca="1">IFERROR(__xludf.DUMMYFUNCTION("""COMPUTED_VALUE"""),"V-1-309")</f>
        <v>V-1-309</v>
      </c>
      <c r="B157" t="str">
        <f ca="1">IFERROR(__xludf.DUMMYFUNCTION("""COMPUTED_VALUE"""),"Малеванный")</f>
        <v>Малеванный</v>
      </c>
      <c r="C157" t="str">
        <f ca="1">IFERROR(__xludf.DUMMYFUNCTION("""COMPUTED_VALUE"""),"Георгий")</f>
        <v>Георгий</v>
      </c>
      <c r="D157" t="str">
        <f ca="1">IFERROR(__xludf.DUMMYFUNCTION("""COMPUTED_VALUE"""),"Школа 239")</f>
        <v>Школа 239</v>
      </c>
      <c r="E157" s="5">
        <f ca="1">IFERROR(__xludf.DUMMYFUNCTION("""COMPUTED_VALUE"""),2)</f>
        <v>2</v>
      </c>
      <c r="F157" s="5">
        <f ca="1">IFERROR(__xludf.DUMMYFUNCTION("""COMPUTED_VALUE"""),3)</f>
        <v>3</v>
      </c>
      <c r="G157" s="5">
        <f ca="1">IFERROR(__xludf.DUMMYFUNCTION("""COMPUTED_VALUE"""),3)</f>
        <v>3</v>
      </c>
      <c r="H157" s="5">
        <f ca="1">IFERROR(__xludf.DUMMYFUNCTION("""COMPUTED_VALUE"""),0)</f>
        <v>0</v>
      </c>
      <c r="I157" s="5">
        <f ca="1">IFERROR(__xludf.DUMMYFUNCTION("""COMPUTED_VALUE"""),0)</f>
        <v>0</v>
      </c>
      <c r="J157" s="5">
        <f ca="1">IFERROR(__xludf.DUMMYFUNCTION("""COMPUTED_VALUE"""),0)</f>
        <v>0</v>
      </c>
      <c r="K157" s="5">
        <f ca="1">IFERROR(__xludf.DUMMYFUNCTION("""COMPUTED_VALUE"""),0)</f>
        <v>0</v>
      </c>
      <c r="L157" s="5">
        <f ca="1">IFERROR(__xludf.DUMMYFUNCTION("""COMPUTED_VALUE"""),1)</f>
        <v>1</v>
      </c>
      <c r="M157">
        <f ca="1">IFERROR(__xludf.DUMMYFUNCTION("""COMPUTED_VALUE"""),9)</f>
        <v>9</v>
      </c>
      <c r="N157" s="8"/>
    </row>
    <row r="158" spans="1:14" ht="12.45" hidden="1">
      <c r="A158" t="str">
        <f ca="1">IFERROR(__xludf.DUMMYFUNCTION("""COMPUTED_VALUE"""),"III-1-069")</f>
        <v>III-1-069</v>
      </c>
      <c r="B158" t="str">
        <f ca="1">IFERROR(__xludf.DUMMYFUNCTION("""COMPUTED_VALUE"""),"Бондаренко")</f>
        <v>Бондаренко</v>
      </c>
      <c r="C158" t="str">
        <f ca="1">IFERROR(__xludf.DUMMYFUNCTION("""COMPUTED_VALUE"""),"Алексей")</f>
        <v>Алексей</v>
      </c>
      <c r="D158" t="str">
        <f ca="1">IFERROR(__xludf.DUMMYFUNCTION("""COMPUTED_VALUE"""),"Школа 80")</f>
        <v>Школа 80</v>
      </c>
      <c r="E158" s="5">
        <f ca="1">IFERROR(__xludf.DUMMYFUNCTION("""COMPUTED_VALUE"""),0)</f>
        <v>0</v>
      </c>
      <c r="F158" s="5">
        <f ca="1">IFERROR(__xludf.DUMMYFUNCTION("""COMPUTED_VALUE"""),0)</f>
        <v>0</v>
      </c>
      <c r="G158" s="5">
        <f ca="1">IFERROR(__xludf.DUMMYFUNCTION("""COMPUTED_VALUE"""),3)</f>
        <v>3</v>
      </c>
      <c r="H158" s="5">
        <f ca="1">IFERROR(__xludf.DUMMYFUNCTION("""COMPUTED_VALUE"""),1)</f>
        <v>1</v>
      </c>
      <c r="I158" s="5">
        <f ca="1">IFERROR(__xludf.DUMMYFUNCTION("""COMPUTED_VALUE"""),0)</f>
        <v>0</v>
      </c>
      <c r="J158" s="5">
        <f ca="1">IFERROR(__xludf.DUMMYFUNCTION("""COMPUTED_VALUE"""),0)</f>
        <v>0</v>
      </c>
      <c r="K158" s="5">
        <f ca="1">IFERROR(__xludf.DUMMYFUNCTION("""COMPUTED_VALUE"""),4)</f>
        <v>4</v>
      </c>
      <c r="L158" s="5">
        <f ca="1">IFERROR(__xludf.DUMMYFUNCTION("""COMPUTED_VALUE"""),1)</f>
        <v>1</v>
      </c>
      <c r="M158">
        <f ca="1">IFERROR(__xludf.DUMMYFUNCTION("""COMPUTED_VALUE"""),9)</f>
        <v>9</v>
      </c>
      <c r="N158" s="8"/>
    </row>
    <row r="159" spans="1:14" ht="12.45" hidden="1">
      <c r="A159" t="str">
        <f ca="1">IFERROR(__xludf.DUMMYFUNCTION("""COMPUTED_VALUE"""),"V-1-455")</f>
        <v>V-1-455</v>
      </c>
      <c r="B159" t="str">
        <f ca="1">IFERROR(__xludf.DUMMYFUNCTION("""COMPUTED_VALUE"""),"Салимбаев")</f>
        <v>Салимбаев</v>
      </c>
      <c r="C159" t="str">
        <f ca="1">IFERROR(__xludf.DUMMYFUNCTION("""COMPUTED_VALUE"""),"Артём")</f>
        <v>Артём</v>
      </c>
      <c r="D159" t="str">
        <f ca="1">IFERROR(__xludf.DUMMYFUNCTION("""COMPUTED_VALUE"""),"Лицей 488")</f>
        <v>Лицей 488</v>
      </c>
      <c r="E159" s="5">
        <f ca="1">IFERROR(__xludf.DUMMYFUNCTION("""COMPUTED_VALUE"""),1)</f>
        <v>1</v>
      </c>
      <c r="F159" s="5">
        <f ca="1">IFERROR(__xludf.DUMMYFUNCTION("""COMPUTED_VALUE"""),3)</f>
        <v>3</v>
      </c>
      <c r="G159" s="5">
        <f ca="1">IFERROR(__xludf.DUMMYFUNCTION("""COMPUTED_VALUE"""),0)</f>
        <v>0</v>
      </c>
      <c r="H159" s="5">
        <f ca="1">IFERROR(__xludf.DUMMYFUNCTION("""COMPUTED_VALUE"""),0)</f>
        <v>0</v>
      </c>
      <c r="I159" s="5">
        <f ca="1">IFERROR(__xludf.DUMMYFUNCTION("""COMPUTED_VALUE"""),0)</f>
        <v>0</v>
      </c>
      <c r="J159" s="5">
        <f ca="1">IFERROR(__xludf.DUMMYFUNCTION("""COMPUTED_VALUE"""),4)</f>
        <v>4</v>
      </c>
      <c r="K159" s="5">
        <f ca="1">IFERROR(__xludf.DUMMYFUNCTION("""COMPUTED_VALUE"""),0)</f>
        <v>0</v>
      </c>
      <c r="L159" s="5">
        <f ca="1">IFERROR(__xludf.DUMMYFUNCTION("""COMPUTED_VALUE"""),1)</f>
        <v>1</v>
      </c>
      <c r="M159">
        <f ca="1">IFERROR(__xludf.DUMMYFUNCTION("""COMPUTED_VALUE"""),9)</f>
        <v>9</v>
      </c>
      <c r="N159" s="8"/>
    </row>
    <row r="160" spans="1:14" ht="12.45" hidden="1">
      <c r="A160" t="str">
        <f ca="1">IFERROR(__xludf.DUMMYFUNCTION("""COMPUTED_VALUE"""),"III-1-257")</f>
        <v>III-1-257</v>
      </c>
      <c r="B160" t="str">
        <f ca="1">IFERROR(__xludf.DUMMYFUNCTION("""COMPUTED_VALUE"""),"Костомарова")</f>
        <v>Костомарова</v>
      </c>
      <c r="C160" t="str">
        <f ca="1">IFERROR(__xludf.DUMMYFUNCTION("""COMPUTED_VALUE"""),"Алиса")</f>
        <v>Алиса</v>
      </c>
      <c r="D160" t="str">
        <f ca="1">IFERROR(__xludf.DUMMYFUNCTION("""COMPUTED_VALUE"""),"Школа 605")</f>
        <v>Школа 605</v>
      </c>
      <c r="E160" s="5">
        <f ca="1">IFERROR(__xludf.DUMMYFUNCTION("""COMPUTED_VALUE"""),2)</f>
        <v>2</v>
      </c>
      <c r="F160" s="5">
        <f ca="1">IFERROR(__xludf.DUMMYFUNCTION("""COMPUTED_VALUE"""),3)</f>
        <v>3</v>
      </c>
      <c r="G160" s="5">
        <f ca="1">IFERROR(__xludf.DUMMYFUNCTION("""COMPUTED_VALUE"""),3)</f>
        <v>3</v>
      </c>
      <c r="H160" s="5">
        <f ca="1">IFERROR(__xludf.DUMMYFUNCTION("""COMPUTED_VALUE"""),0)</f>
        <v>0</v>
      </c>
      <c r="I160" s="5">
        <f ca="1">IFERROR(__xludf.DUMMYFUNCTION("""COMPUTED_VALUE"""),0)</f>
        <v>0</v>
      </c>
      <c r="J160" s="5">
        <f ca="1">IFERROR(__xludf.DUMMYFUNCTION("""COMPUTED_VALUE"""),0)</f>
        <v>0</v>
      </c>
      <c r="K160" s="5">
        <f ca="1">IFERROR(__xludf.DUMMYFUNCTION("""COMPUTED_VALUE"""),0)</f>
        <v>0</v>
      </c>
      <c r="L160" s="5">
        <f ca="1">IFERROR(__xludf.DUMMYFUNCTION("""COMPUTED_VALUE"""),1)</f>
        <v>1</v>
      </c>
      <c r="M160">
        <f ca="1">IFERROR(__xludf.DUMMYFUNCTION("""COMPUTED_VALUE"""),9)</f>
        <v>9</v>
      </c>
      <c r="N160" s="8"/>
    </row>
    <row r="161" spans="1:14" ht="12.45" hidden="1">
      <c r="A161" t="str">
        <f ca="1">IFERROR(__xludf.DUMMYFUNCTION("""COMPUTED_VALUE"""),"III-1-057")</f>
        <v>III-1-057</v>
      </c>
      <c r="B161" t="str">
        <f ca="1">IFERROR(__xludf.DUMMYFUNCTION("""COMPUTED_VALUE"""),"Березин")</f>
        <v>Березин</v>
      </c>
      <c r="C161" t="str">
        <f ca="1">IFERROR(__xludf.DUMMYFUNCTION("""COMPUTED_VALUE"""),"Андрей")</f>
        <v>Андрей</v>
      </c>
      <c r="D161" t="str">
        <f ca="1">IFERROR(__xludf.DUMMYFUNCTION("""COMPUTED_VALUE"""),"Школа Квадривиум")</f>
        <v>Школа Квадривиум</v>
      </c>
      <c r="E161" s="5">
        <f ca="1">IFERROR(__xludf.DUMMYFUNCTION("""COMPUTED_VALUE"""),2)</f>
        <v>2</v>
      </c>
      <c r="F161" s="5">
        <f ca="1">IFERROR(__xludf.DUMMYFUNCTION("""COMPUTED_VALUE"""),3)</f>
        <v>3</v>
      </c>
      <c r="G161" s="5">
        <f ca="1">IFERROR(__xludf.DUMMYFUNCTION("""COMPUTED_VALUE"""),3)</f>
        <v>3</v>
      </c>
      <c r="H161" s="5">
        <f ca="1">IFERROR(__xludf.DUMMYFUNCTION("""COMPUTED_VALUE"""),0)</f>
        <v>0</v>
      </c>
      <c r="I161" s="5">
        <f ca="1">IFERROR(__xludf.DUMMYFUNCTION("""COMPUTED_VALUE"""),0)</f>
        <v>0</v>
      </c>
      <c r="J161" s="5"/>
      <c r="K161" s="5">
        <f ca="1">IFERROR(__xludf.DUMMYFUNCTION("""COMPUTED_VALUE"""),0)</f>
        <v>0</v>
      </c>
      <c r="L161" s="5"/>
      <c r="M161">
        <f ca="1">IFERROR(__xludf.DUMMYFUNCTION("""COMPUTED_VALUE"""),8)</f>
        <v>8</v>
      </c>
      <c r="N161" s="8"/>
    </row>
    <row r="162" spans="1:14" ht="12.45">
      <c r="A162" t="str">
        <f ca="1">IFERROR(__xludf.DUMMYFUNCTION("""COMPUTED_VALUE"""),"III-1-019")</f>
        <v>III-1-019</v>
      </c>
      <c r="B162" t="str">
        <f ca="1">IFERROR(__xludf.DUMMYFUNCTION("""COMPUTED_VALUE"""),"Андреева")</f>
        <v>Андреева</v>
      </c>
      <c r="C162" t="str">
        <f ca="1">IFERROR(__xludf.DUMMYFUNCTION("""COMPUTED_VALUE"""),"Маргарита")</f>
        <v>Маргарита</v>
      </c>
      <c r="D162" t="str">
        <f ca="1">IFERROR(__xludf.DUMMYFUNCTION("""COMPUTED_VALUE"""),"Гимназия 3")</f>
        <v>Гимназия 3</v>
      </c>
      <c r="E162" s="5">
        <f ca="1">IFERROR(__xludf.DUMMYFUNCTION("""COMPUTED_VALUE"""),2)</f>
        <v>2</v>
      </c>
      <c r="F162" s="5">
        <f ca="1">IFERROR(__xludf.DUMMYFUNCTION("""COMPUTED_VALUE"""),3)</f>
        <v>3</v>
      </c>
      <c r="G162" s="5">
        <f ca="1">IFERROR(__xludf.DUMMYFUNCTION("""COMPUTED_VALUE"""),3)</f>
        <v>3</v>
      </c>
      <c r="H162" s="5">
        <f ca="1">IFERROR(__xludf.DUMMYFUNCTION("""COMPUTED_VALUE"""),0)</f>
        <v>0</v>
      </c>
      <c r="I162" s="5"/>
      <c r="J162" s="5"/>
      <c r="K162" s="5"/>
      <c r="L162" s="5">
        <f ca="1">IFERROR(__xludf.DUMMYFUNCTION("""COMPUTED_VALUE"""),0)</f>
        <v>0</v>
      </c>
      <c r="M162">
        <f ca="1">IFERROR(__xludf.DUMMYFUNCTION("""COMPUTED_VALUE"""),8)</f>
        <v>8</v>
      </c>
      <c r="N162" s="8"/>
    </row>
    <row r="163" spans="1:14" ht="12.45" hidden="1">
      <c r="A163" t="str">
        <f ca="1">IFERROR(__xludf.DUMMYFUNCTION("""COMPUTED_VALUE"""),"III-1-118")</f>
        <v>III-1-118</v>
      </c>
      <c r="B163" t="str">
        <f ca="1">IFERROR(__xludf.DUMMYFUNCTION("""COMPUTED_VALUE"""),"Галиулин")</f>
        <v>Галиулин</v>
      </c>
      <c r="C163" t="str">
        <f ca="1">IFERROR(__xludf.DUMMYFUNCTION("""COMPUTED_VALUE"""),"Тимур")</f>
        <v>Тимур</v>
      </c>
      <c r="D163" t="str">
        <f ca="1">IFERROR(__xludf.DUMMYFUNCTION("""COMPUTED_VALUE"""),"Гимназия 330")</f>
        <v>Гимназия 330</v>
      </c>
      <c r="E163" s="5">
        <f ca="1">IFERROR(__xludf.DUMMYFUNCTION("""COMPUTED_VALUE"""),1)</f>
        <v>1</v>
      </c>
      <c r="F163" s="5">
        <f ca="1">IFERROR(__xludf.DUMMYFUNCTION("""COMPUTED_VALUE"""),0)</f>
        <v>0</v>
      </c>
      <c r="G163" s="5">
        <f ca="1">IFERROR(__xludf.DUMMYFUNCTION("""COMPUTED_VALUE"""),3)</f>
        <v>3</v>
      </c>
      <c r="H163" s="5">
        <f ca="1">IFERROR(__xludf.DUMMYFUNCTION("""COMPUTED_VALUE"""),0)</f>
        <v>0</v>
      </c>
      <c r="I163" s="5"/>
      <c r="J163" s="5">
        <f ca="1">IFERROR(__xludf.DUMMYFUNCTION("""COMPUTED_VALUE"""),4)</f>
        <v>4</v>
      </c>
      <c r="K163" s="5">
        <f ca="1">IFERROR(__xludf.DUMMYFUNCTION("""COMPUTED_VALUE"""),0)</f>
        <v>0</v>
      </c>
      <c r="L163" s="5">
        <f ca="1">IFERROR(__xludf.DUMMYFUNCTION("""COMPUTED_VALUE"""),0)</f>
        <v>0</v>
      </c>
      <c r="M163">
        <f ca="1">IFERROR(__xludf.DUMMYFUNCTION("""COMPUTED_VALUE"""),8)</f>
        <v>8</v>
      </c>
      <c r="N163" s="8"/>
    </row>
    <row r="164" spans="1:14" ht="12.45" hidden="1">
      <c r="A164" t="str">
        <f ca="1">IFERROR(__xludf.DUMMYFUNCTION("""COMPUTED_VALUE"""),"V-1-560")</f>
        <v>V-1-560</v>
      </c>
      <c r="B164" t="str">
        <f ca="1">IFERROR(__xludf.DUMMYFUNCTION("""COMPUTED_VALUE"""),"Халаим")</f>
        <v>Халаим</v>
      </c>
      <c r="C164" t="str">
        <f ca="1">IFERROR(__xludf.DUMMYFUNCTION("""COMPUTED_VALUE"""),"Даниил")</f>
        <v>Даниил</v>
      </c>
      <c r="D164" t="str">
        <f ca="1">IFERROR(__xludf.DUMMYFUNCTION("""COMPUTED_VALUE"""),"Школа 468")</f>
        <v>Школа 468</v>
      </c>
      <c r="E164" s="5">
        <f ca="1">IFERROR(__xludf.DUMMYFUNCTION("""COMPUTED_VALUE"""),0)</f>
        <v>0</v>
      </c>
      <c r="F164" s="5">
        <f ca="1">IFERROR(__xludf.DUMMYFUNCTION("""COMPUTED_VALUE"""),0)</f>
        <v>0</v>
      </c>
      <c r="G164" s="5">
        <f ca="1">IFERROR(__xludf.DUMMYFUNCTION("""COMPUTED_VALUE"""),3)</f>
        <v>3</v>
      </c>
      <c r="H164" s="5">
        <f ca="1">IFERROR(__xludf.DUMMYFUNCTION("""COMPUTED_VALUE"""),0)</f>
        <v>0</v>
      </c>
      <c r="I164" s="5">
        <f ca="1">IFERROR(__xludf.DUMMYFUNCTION("""COMPUTED_VALUE"""),0)</f>
        <v>0</v>
      </c>
      <c r="J164" s="5">
        <f ca="1">IFERROR(__xludf.DUMMYFUNCTION("""COMPUTED_VALUE"""),4)</f>
        <v>4</v>
      </c>
      <c r="K164" s="5">
        <f ca="1">IFERROR(__xludf.DUMMYFUNCTION("""COMPUTED_VALUE"""),0)</f>
        <v>0</v>
      </c>
      <c r="L164" s="5">
        <f ca="1">IFERROR(__xludf.DUMMYFUNCTION("""COMPUTED_VALUE"""),1)</f>
        <v>1</v>
      </c>
      <c r="M164">
        <f ca="1">IFERROR(__xludf.DUMMYFUNCTION("""COMPUTED_VALUE"""),8)</f>
        <v>8</v>
      </c>
      <c r="N164" s="8"/>
    </row>
    <row r="165" spans="1:14" ht="12.45" hidden="1">
      <c r="A165" t="str">
        <f ca="1">IFERROR(__xludf.DUMMYFUNCTION("""COMPUTED_VALUE"""),"V-1-425")</f>
        <v>V-1-425</v>
      </c>
      <c r="B165" t="str">
        <f ca="1">IFERROR(__xludf.DUMMYFUNCTION("""COMPUTED_VALUE"""),"Путова")</f>
        <v>Путова</v>
      </c>
      <c r="C165" t="str">
        <f ca="1">IFERROR(__xludf.DUMMYFUNCTION("""COMPUTED_VALUE"""),"Елизавета")</f>
        <v>Елизавета</v>
      </c>
      <c r="D165" t="str">
        <f ca="1">IFERROR(__xludf.DUMMYFUNCTION("""COMPUTED_VALUE"""),"Школа Праздник +")</f>
        <v>Школа Праздник +</v>
      </c>
      <c r="E165" s="5">
        <f ca="1">IFERROR(__xludf.DUMMYFUNCTION("""COMPUTED_VALUE"""),0)</f>
        <v>0</v>
      </c>
      <c r="F165" s="5">
        <f ca="1">IFERROR(__xludf.DUMMYFUNCTION("""COMPUTED_VALUE"""),0)</f>
        <v>0</v>
      </c>
      <c r="G165" s="5">
        <f ca="1">IFERROR(__xludf.DUMMYFUNCTION("""COMPUTED_VALUE"""),3)</f>
        <v>3</v>
      </c>
      <c r="H165" s="5">
        <f ca="1">IFERROR(__xludf.DUMMYFUNCTION("""COMPUTED_VALUE"""),0)</f>
        <v>0</v>
      </c>
      <c r="I165" s="5">
        <f ca="1">IFERROR(__xludf.DUMMYFUNCTION("""COMPUTED_VALUE"""),0)</f>
        <v>0</v>
      </c>
      <c r="J165" s="5">
        <f ca="1">IFERROR(__xludf.DUMMYFUNCTION("""COMPUTED_VALUE"""),4)</f>
        <v>4</v>
      </c>
      <c r="K165" s="5">
        <f ca="1">IFERROR(__xludf.DUMMYFUNCTION("""COMPUTED_VALUE"""),0)</f>
        <v>0</v>
      </c>
      <c r="L165" s="5">
        <f ca="1">IFERROR(__xludf.DUMMYFUNCTION("""COMPUTED_VALUE"""),1)</f>
        <v>1</v>
      </c>
      <c r="M165">
        <f ca="1">IFERROR(__xludf.DUMMYFUNCTION("""COMPUTED_VALUE"""),8)</f>
        <v>8</v>
      </c>
      <c r="N165" s="8"/>
    </row>
    <row r="166" spans="1:14" ht="12.45" hidden="1">
      <c r="A166" t="str">
        <f ca="1">IFERROR(__xludf.DUMMYFUNCTION("""COMPUTED_VALUE"""),"III-1-103")</f>
        <v>III-1-103</v>
      </c>
      <c r="B166" t="str">
        <f ca="1">IFERROR(__xludf.DUMMYFUNCTION("""COMPUTED_VALUE"""),"Вичуганова")</f>
        <v>Вичуганова</v>
      </c>
      <c r="C166" t="str">
        <f ca="1">IFERROR(__xludf.DUMMYFUNCTION("""COMPUTED_VALUE"""),"Вероника")</f>
        <v>Вероника</v>
      </c>
      <c r="D166" t="str">
        <f ca="1">IFERROR(__xludf.DUMMYFUNCTION("""COMPUTED_VALUE"""),"Гимназия 261")</f>
        <v>Гимназия 261</v>
      </c>
      <c r="E166" s="5">
        <f ca="1">IFERROR(__xludf.DUMMYFUNCTION("""COMPUTED_VALUE"""),0)</f>
        <v>0</v>
      </c>
      <c r="F166" s="5">
        <f ca="1">IFERROR(__xludf.DUMMYFUNCTION("""COMPUTED_VALUE"""),0)</f>
        <v>0</v>
      </c>
      <c r="G166" s="5">
        <f ca="1">IFERROR(__xludf.DUMMYFUNCTION("""COMPUTED_VALUE"""),3)</f>
        <v>3</v>
      </c>
      <c r="H166" s="5"/>
      <c r="I166" s="5">
        <f ca="1">IFERROR(__xludf.DUMMYFUNCTION("""COMPUTED_VALUE"""),0)</f>
        <v>0</v>
      </c>
      <c r="J166" s="5">
        <f ca="1">IFERROR(__xludf.DUMMYFUNCTION("""COMPUTED_VALUE"""),4)</f>
        <v>4</v>
      </c>
      <c r="K166" s="5"/>
      <c r="L166" s="5">
        <f ca="1">IFERROR(__xludf.DUMMYFUNCTION("""COMPUTED_VALUE"""),1)</f>
        <v>1</v>
      </c>
      <c r="M166">
        <f ca="1">IFERROR(__xludf.DUMMYFUNCTION("""COMPUTED_VALUE"""),8)</f>
        <v>8</v>
      </c>
      <c r="N166" s="8"/>
    </row>
    <row r="167" spans="1:14" ht="12.45" hidden="1">
      <c r="A167" t="str">
        <f ca="1">IFERROR(__xludf.DUMMYFUNCTION("""COMPUTED_VALUE"""),"V-1-420")</f>
        <v>V-1-420</v>
      </c>
      <c r="B167" t="str">
        <f ca="1">IFERROR(__xludf.DUMMYFUNCTION("""COMPUTED_VALUE"""),"Прокашев")</f>
        <v>Прокашев</v>
      </c>
      <c r="C167" t="str">
        <f ca="1">IFERROR(__xludf.DUMMYFUNCTION("""COMPUTED_VALUE"""),"Михаил")</f>
        <v>Михаил</v>
      </c>
      <c r="D167" t="str">
        <f ca="1">IFERROR(__xludf.DUMMYFUNCTION("""COMPUTED_VALUE"""),"Лицей 344")</f>
        <v>Лицей 344</v>
      </c>
      <c r="E167" s="5">
        <f ca="1">IFERROR(__xludf.DUMMYFUNCTION("""COMPUTED_VALUE"""),0)</f>
        <v>0</v>
      </c>
      <c r="F167" s="5">
        <f ca="1">IFERROR(__xludf.DUMMYFUNCTION("""COMPUTED_VALUE"""),0)</f>
        <v>0</v>
      </c>
      <c r="G167" s="5">
        <f ca="1">IFERROR(__xludf.DUMMYFUNCTION("""COMPUTED_VALUE"""),3)</f>
        <v>3</v>
      </c>
      <c r="H167" s="5">
        <f ca="1">IFERROR(__xludf.DUMMYFUNCTION("""COMPUTED_VALUE"""),0)</f>
        <v>0</v>
      </c>
      <c r="I167" s="5">
        <f ca="1">IFERROR(__xludf.DUMMYFUNCTION("""COMPUTED_VALUE"""),0)</f>
        <v>0</v>
      </c>
      <c r="J167" s="5">
        <f ca="1">IFERROR(__xludf.DUMMYFUNCTION("""COMPUTED_VALUE"""),0)</f>
        <v>0</v>
      </c>
      <c r="K167" s="5">
        <f ca="1">IFERROR(__xludf.DUMMYFUNCTION("""COMPUTED_VALUE"""),4)</f>
        <v>4</v>
      </c>
      <c r="L167" s="5">
        <f ca="1">IFERROR(__xludf.DUMMYFUNCTION("""COMPUTED_VALUE"""),1)</f>
        <v>1</v>
      </c>
      <c r="M167">
        <f ca="1">IFERROR(__xludf.DUMMYFUNCTION("""COMPUTED_VALUE"""),8)</f>
        <v>8</v>
      </c>
      <c r="N167" s="8"/>
    </row>
    <row r="168" spans="1:14" ht="12.45" hidden="1">
      <c r="A168" t="str">
        <f ca="1">IFERROR(__xludf.DUMMYFUNCTION("""COMPUTED_VALUE"""),"V-1-331")</f>
        <v>V-1-331</v>
      </c>
      <c r="B168" t="str">
        <f ca="1">IFERROR(__xludf.DUMMYFUNCTION("""COMPUTED_VALUE"""),"Михайлова")</f>
        <v>Михайлова</v>
      </c>
      <c r="C168" t="str">
        <f ca="1">IFERROR(__xludf.DUMMYFUNCTION("""COMPUTED_VALUE"""),"Наталья")</f>
        <v>Наталья</v>
      </c>
      <c r="D168" t="str">
        <f ca="1">IFERROR(__xludf.DUMMYFUNCTION("""COMPUTED_VALUE"""),"Лицей 244")</f>
        <v>Лицей 244</v>
      </c>
      <c r="E168" s="5">
        <f ca="1">IFERROR(__xludf.DUMMYFUNCTION("""COMPUTED_VALUE"""),0)</f>
        <v>0</v>
      </c>
      <c r="F168" s="5">
        <f ca="1">IFERROR(__xludf.DUMMYFUNCTION("""COMPUTED_VALUE"""),0)</f>
        <v>0</v>
      </c>
      <c r="G168" s="5">
        <f ca="1">IFERROR(__xludf.DUMMYFUNCTION("""COMPUTED_VALUE"""),3)</f>
        <v>3</v>
      </c>
      <c r="H168" s="5">
        <f ca="1">IFERROR(__xludf.DUMMYFUNCTION("""COMPUTED_VALUE"""),0)</f>
        <v>0</v>
      </c>
      <c r="I168" s="5">
        <f ca="1">IFERROR(__xludf.DUMMYFUNCTION("""COMPUTED_VALUE"""),0)</f>
        <v>0</v>
      </c>
      <c r="J168" s="5">
        <f ca="1">IFERROR(__xludf.DUMMYFUNCTION("""COMPUTED_VALUE"""),4)</f>
        <v>4</v>
      </c>
      <c r="K168" s="5">
        <f ca="1">IFERROR(__xludf.DUMMYFUNCTION("""COMPUTED_VALUE"""),0)</f>
        <v>0</v>
      </c>
      <c r="L168" s="5">
        <f ca="1">IFERROR(__xludf.DUMMYFUNCTION("""COMPUTED_VALUE"""),1)</f>
        <v>1</v>
      </c>
      <c r="M168">
        <f ca="1">IFERROR(__xludf.DUMMYFUNCTION("""COMPUTED_VALUE"""),8)</f>
        <v>8</v>
      </c>
      <c r="N168" s="8"/>
    </row>
    <row r="169" spans="1:14" ht="12.45" hidden="1">
      <c r="A169" t="str">
        <f ca="1">IFERROR(__xludf.DUMMYFUNCTION("""COMPUTED_VALUE"""),"III-1-241")</f>
        <v>III-1-241</v>
      </c>
      <c r="B169" t="str">
        <f ca="1">IFERROR(__xludf.DUMMYFUNCTION("""COMPUTED_VALUE"""),"Козырь")</f>
        <v>Козырь</v>
      </c>
      <c r="C169" t="str">
        <f ca="1">IFERROR(__xludf.DUMMYFUNCTION("""COMPUTED_VALUE"""),"Артём")</f>
        <v>Артём</v>
      </c>
      <c r="D169" t="str">
        <f ca="1">IFERROR(__xludf.DUMMYFUNCTION("""COMPUTED_VALUE"""),"Школа 71")</f>
        <v>Школа 71</v>
      </c>
      <c r="E169" s="5">
        <f ca="1">IFERROR(__xludf.DUMMYFUNCTION("""COMPUTED_VALUE"""),1)</f>
        <v>1</v>
      </c>
      <c r="F169" s="5">
        <f ca="1">IFERROR(__xludf.DUMMYFUNCTION("""COMPUTED_VALUE"""),3)</f>
        <v>3</v>
      </c>
      <c r="G169" s="5"/>
      <c r="H169" s="5"/>
      <c r="I169" s="5">
        <f ca="1">IFERROR(__xludf.DUMMYFUNCTION("""COMPUTED_VALUE"""),0)</f>
        <v>0</v>
      </c>
      <c r="J169" s="5">
        <f ca="1">IFERROR(__xludf.DUMMYFUNCTION("""COMPUTED_VALUE"""),4)</f>
        <v>4</v>
      </c>
      <c r="K169" s="5"/>
      <c r="L169" s="5"/>
      <c r="M169">
        <f ca="1">IFERROR(__xludf.DUMMYFUNCTION("""COMPUTED_VALUE"""),8)</f>
        <v>8</v>
      </c>
      <c r="N169" s="8"/>
    </row>
    <row r="170" spans="1:14" ht="12.45" hidden="1">
      <c r="A170" t="str">
        <f ca="1">IFERROR(__xludf.DUMMYFUNCTION("""COMPUTED_VALUE"""),"III-1-085")</f>
        <v>III-1-085</v>
      </c>
      <c r="B170" t="str">
        <f ca="1">IFERROR(__xludf.DUMMYFUNCTION("""COMPUTED_VALUE"""),"Вавилова")</f>
        <v>Вавилова</v>
      </c>
      <c r="C170" t="str">
        <f ca="1">IFERROR(__xludf.DUMMYFUNCTION("""COMPUTED_VALUE"""),"Екатерина")</f>
        <v>Екатерина</v>
      </c>
      <c r="D170" t="str">
        <f ca="1">IFERROR(__xludf.DUMMYFUNCTION("""COMPUTED_VALUE"""),"Гимназия 56")</f>
        <v>Гимназия 56</v>
      </c>
      <c r="E170" s="5">
        <f ca="1">IFERROR(__xludf.DUMMYFUNCTION("""COMPUTED_VALUE"""),1)</f>
        <v>1</v>
      </c>
      <c r="F170" s="5"/>
      <c r="G170" s="5">
        <f ca="1">IFERROR(__xludf.DUMMYFUNCTION("""COMPUTED_VALUE"""),3)</f>
        <v>3</v>
      </c>
      <c r="H170" s="5">
        <f ca="1">IFERROR(__xludf.DUMMYFUNCTION("""COMPUTED_VALUE"""),0)</f>
        <v>0</v>
      </c>
      <c r="I170" s="5">
        <f ca="1">IFERROR(__xludf.DUMMYFUNCTION("""COMPUTED_VALUE"""),0)</f>
        <v>0</v>
      </c>
      <c r="J170" s="5">
        <f ca="1">IFERROR(__xludf.DUMMYFUNCTION("""COMPUTED_VALUE"""),4)</f>
        <v>4</v>
      </c>
      <c r="K170" s="5">
        <f ca="1">IFERROR(__xludf.DUMMYFUNCTION("""COMPUTED_VALUE"""),0)</f>
        <v>0</v>
      </c>
      <c r="L170" s="5">
        <f ca="1">IFERROR(__xludf.DUMMYFUNCTION("""COMPUTED_VALUE"""),0)</f>
        <v>0</v>
      </c>
      <c r="M170">
        <f ca="1">IFERROR(__xludf.DUMMYFUNCTION("""COMPUTED_VALUE"""),8)</f>
        <v>8</v>
      </c>
      <c r="N170" s="8"/>
    </row>
    <row r="171" spans="1:14" ht="12.45" hidden="1">
      <c r="A171" t="str">
        <f ca="1">IFERROR(__xludf.DUMMYFUNCTION("""COMPUTED_VALUE"""),"III-1-206")</f>
        <v>III-1-206</v>
      </c>
      <c r="B171" t="str">
        <f ca="1">IFERROR(__xludf.DUMMYFUNCTION("""COMPUTED_VALUE"""),"Иванова")</f>
        <v>Иванова</v>
      </c>
      <c r="C171" t="str">
        <f ca="1">IFERROR(__xludf.DUMMYFUNCTION("""COMPUTED_VALUE"""),"София")</f>
        <v>София</v>
      </c>
      <c r="D171" t="str">
        <f ca="1">IFERROR(__xludf.DUMMYFUNCTION("""COMPUTED_VALUE"""),"Школа 407")</f>
        <v>Школа 407</v>
      </c>
      <c r="E171" s="5">
        <f ca="1">IFERROR(__xludf.DUMMYFUNCTION("""COMPUTED_VALUE"""),0)</f>
        <v>0</v>
      </c>
      <c r="F171" s="5">
        <f ca="1">IFERROR(__xludf.DUMMYFUNCTION("""COMPUTED_VALUE"""),3)</f>
        <v>3</v>
      </c>
      <c r="G171" s="5">
        <f ca="1">IFERROR(__xludf.DUMMYFUNCTION("""COMPUTED_VALUE"""),3)</f>
        <v>3</v>
      </c>
      <c r="H171" s="5">
        <f ca="1">IFERROR(__xludf.DUMMYFUNCTION("""COMPUTED_VALUE"""),0)</f>
        <v>0</v>
      </c>
      <c r="I171" s="5">
        <f ca="1">IFERROR(__xludf.DUMMYFUNCTION("""COMPUTED_VALUE"""),0)</f>
        <v>0</v>
      </c>
      <c r="J171" s="5">
        <f ca="1">IFERROR(__xludf.DUMMYFUNCTION("""COMPUTED_VALUE"""),1)</f>
        <v>1</v>
      </c>
      <c r="K171" s="5">
        <f ca="1">IFERROR(__xludf.DUMMYFUNCTION("""COMPUTED_VALUE"""),0)</f>
        <v>0</v>
      </c>
      <c r="L171" s="5">
        <f ca="1">IFERROR(__xludf.DUMMYFUNCTION("""COMPUTED_VALUE"""),1)</f>
        <v>1</v>
      </c>
      <c r="M171">
        <f ca="1">IFERROR(__xludf.DUMMYFUNCTION("""COMPUTED_VALUE"""),8)</f>
        <v>8</v>
      </c>
      <c r="N171" s="8"/>
    </row>
    <row r="172" spans="1:14" ht="12.45" hidden="1">
      <c r="A172" t="str">
        <f ca="1">IFERROR(__xludf.DUMMYFUNCTION("""COMPUTED_VALUE"""),"V-1-605")</f>
        <v>V-1-605</v>
      </c>
      <c r="B172" t="str">
        <f ca="1">IFERROR(__xludf.DUMMYFUNCTION("""COMPUTED_VALUE"""),"Шульц")</f>
        <v>Шульц</v>
      </c>
      <c r="C172" t="str">
        <f ca="1">IFERROR(__xludf.DUMMYFUNCTION("""COMPUTED_VALUE"""),"Милана")</f>
        <v>Милана</v>
      </c>
      <c r="D172" t="str">
        <f ca="1">IFERROR(__xludf.DUMMYFUNCTION("""COMPUTED_VALUE"""),"Школа 630")</f>
        <v>Школа 630</v>
      </c>
      <c r="E172" s="5">
        <f ca="1">IFERROR(__xludf.DUMMYFUNCTION("""COMPUTED_VALUE"""),0)</f>
        <v>0</v>
      </c>
      <c r="F172" s="5">
        <f ca="1">IFERROR(__xludf.DUMMYFUNCTION("""COMPUTED_VALUE"""),3)</f>
        <v>3</v>
      </c>
      <c r="G172" s="5">
        <f ca="1">IFERROR(__xludf.DUMMYFUNCTION("""COMPUTED_VALUE"""),3)</f>
        <v>3</v>
      </c>
      <c r="H172" s="5">
        <f ca="1">IFERROR(__xludf.DUMMYFUNCTION("""COMPUTED_VALUE"""),1)</f>
        <v>1</v>
      </c>
      <c r="I172" s="5">
        <f ca="1">IFERROR(__xludf.DUMMYFUNCTION("""COMPUTED_VALUE"""),0)</f>
        <v>0</v>
      </c>
      <c r="J172" s="5">
        <f ca="1">IFERROR(__xludf.DUMMYFUNCTION("""COMPUTED_VALUE"""),0)</f>
        <v>0</v>
      </c>
      <c r="K172" s="5">
        <f ca="1">IFERROR(__xludf.DUMMYFUNCTION("""COMPUTED_VALUE"""),0)</f>
        <v>0</v>
      </c>
      <c r="L172" s="5">
        <f ca="1">IFERROR(__xludf.DUMMYFUNCTION("""COMPUTED_VALUE"""),1)</f>
        <v>1</v>
      </c>
      <c r="M172">
        <f ca="1">IFERROR(__xludf.DUMMYFUNCTION("""COMPUTED_VALUE"""),8)</f>
        <v>8</v>
      </c>
      <c r="N172" s="8"/>
    </row>
    <row r="173" spans="1:14" ht="12.45" hidden="1">
      <c r="A173" t="str">
        <f ca="1">IFERROR(__xludf.DUMMYFUNCTION("""COMPUTED_VALUE"""),"V-1-445")</f>
        <v>V-1-445</v>
      </c>
      <c r="B173" t="str">
        <f ca="1">IFERROR(__xludf.DUMMYFUNCTION("""COMPUTED_VALUE"""),"Романович")</f>
        <v>Романович</v>
      </c>
      <c r="C173" t="str">
        <f ca="1">IFERROR(__xludf.DUMMYFUNCTION("""COMPUTED_VALUE"""),"Роман")</f>
        <v>Роман</v>
      </c>
      <c r="D173" t="str">
        <f ca="1">IFERROR(__xludf.DUMMYFUNCTION("""COMPUTED_VALUE"""),"Школа 489")</f>
        <v>Школа 489</v>
      </c>
      <c r="E173" s="5">
        <f ca="1">IFERROR(__xludf.DUMMYFUNCTION("""COMPUTED_VALUE"""),0)</f>
        <v>0</v>
      </c>
      <c r="F173" s="5">
        <f ca="1">IFERROR(__xludf.DUMMYFUNCTION("""COMPUTED_VALUE"""),3)</f>
        <v>3</v>
      </c>
      <c r="G173" s="5">
        <f ca="1">IFERROR(__xludf.DUMMYFUNCTION("""COMPUTED_VALUE"""),3)</f>
        <v>3</v>
      </c>
      <c r="H173" s="5">
        <f ca="1">IFERROR(__xludf.DUMMYFUNCTION("""COMPUTED_VALUE"""),0)</f>
        <v>0</v>
      </c>
      <c r="I173" s="5">
        <f ca="1">IFERROR(__xludf.DUMMYFUNCTION("""COMPUTED_VALUE"""),0)</f>
        <v>0</v>
      </c>
      <c r="J173" s="5">
        <f ca="1">IFERROR(__xludf.DUMMYFUNCTION("""COMPUTED_VALUE"""),1)</f>
        <v>1</v>
      </c>
      <c r="K173" s="5">
        <f ca="1">IFERROR(__xludf.DUMMYFUNCTION("""COMPUTED_VALUE"""),0)</f>
        <v>0</v>
      </c>
      <c r="L173" s="5">
        <f ca="1">IFERROR(__xludf.DUMMYFUNCTION("""COMPUTED_VALUE"""),1)</f>
        <v>1</v>
      </c>
      <c r="M173">
        <f ca="1">IFERROR(__xludf.DUMMYFUNCTION("""COMPUTED_VALUE"""),8)</f>
        <v>8</v>
      </c>
      <c r="N173" s="8"/>
    </row>
    <row r="174" spans="1:14" ht="12.45" hidden="1">
      <c r="A174" t="str">
        <f ca="1">IFERROR(__xludf.DUMMYFUNCTION("""COMPUTED_VALUE"""),"III-1-011")</f>
        <v>III-1-011</v>
      </c>
      <c r="B174" t="str">
        <f ca="1">IFERROR(__xludf.DUMMYFUNCTION("""COMPUTED_VALUE"""),"Алексеева")</f>
        <v>Алексеева</v>
      </c>
      <c r="C174" t="str">
        <f ca="1">IFERROR(__xludf.DUMMYFUNCTION("""COMPUTED_VALUE"""),"Елизавета")</f>
        <v>Елизавета</v>
      </c>
      <c r="D174" t="str">
        <f ca="1">IFERROR(__xludf.DUMMYFUNCTION("""COMPUTED_VALUE"""),"Гимназия ГБОУ гимназия №642 ""Земля и Вселенная""")</f>
        <v>Гимназия ГБОУ гимназия №642 "Земля и Вселенная"</v>
      </c>
      <c r="E174" s="5">
        <f ca="1">IFERROR(__xludf.DUMMYFUNCTION("""COMPUTED_VALUE"""),0)</f>
        <v>0</v>
      </c>
      <c r="F174" s="5">
        <f ca="1">IFERROR(__xludf.DUMMYFUNCTION("""COMPUTED_VALUE"""),0)</f>
        <v>0</v>
      </c>
      <c r="G174" s="5">
        <f ca="1">IFERROR(__xludf.DUMMYFUNCTION("""COMPUTED_VALUE"""),3)</f>
        <v>3</v>
      </c>
      <c r="H174" s="5">
        <f ca="1">IFERROR(__xludf.DUMMYFUNCTION("""COMPUTED_VALUE"""),0)</f>
        <v>0</v>
      </c>
      <c r="I174" s="5">
        <f ca="1">IFERROR(__xludf.DUMMYFUNCTION("""COMPUTED_VALUE"""),0)</f>
        <v>0</v>
      </c>
      <c r="J174" s="5">
        <f ca="1">IFERROR(__xludf.DUMMYFUNCTION("""COMPUTED_VALUE"""),4)</f>
        <v>4</v>
      </c>
      <c r="K174" s="5">
        <f ca="1">IFERROR(__xludf.DUMMYFUNCTION("""COMPUTED_VALUE"""),0)</f>
        <v>0</v>
      </c>
      <c r="L174" s="5">
        <f ca="1">IFERROR(__xludf.DUMMYFUNCTION("""COMPUTED_VALUE"""),1)</f>
        <v>1</v>
      </c>
      <c r="M174">
        <f ca="1">IFERROR(__xludf.DUMMYFUNCTION("""COMPUTED_VALUE"""),8)</f>
        <v>8</v>
      </c>
      <c r="N174" s="8"/>
    </row>
    <row r="175" spans="1:14" ht="12.45" hidden="1">
      <c r="A175" t="str">
        <f ca="1">IFERROR(__xludf.DUMMYFUNCTION("""COMPUTED_VALUE"""),"V-1-448")</f>
        <v>V-1-448</v>
      </c>
      <c r="B175" t="str">
        <f ca="1">IFERROR(__xludf.DUMMYFUNCTION("""COMPUTED_VALUE"""),"Ружинская")</f>
        <v>Ружинская</v>
      </c>
      <c r="C175" t="str">
        <f ca="1">IFERROR(__xludf.DUMMYFUNCTION("""COMPUTED_VALUE"""),"Янина")</f>
        <v>Янина</v>
      </c>
      <c r="D175" t="str">
        <f ca="1">IFERROR(__xludf.DUMMYFUNCTION("""COMPUTED_VALUE"""),"Гимназия 49")</f>
        <v>Гимназия 49</v>
      </c>
      <c r="E175" s="5">
        <f ca="1">IFERROR(__xludf.DUMMYFUNCTION("""COMPUTED_VALUE"""),2)</f>
        <v>2</v>
      </c>
      <c r="F175" s="5">
        <f ca="1">IFERROR(__xludf.DUMMYFUNCTION("""COMPUTED_VALUE"""),0)</f>
        <v>0</v>
      </c>
      <c r="G175" s="5">
        <f ca="1">IFERROR(__xludf.DUMMYFUNCTION("""COMPUTED_VALUE"""),0)</f>
        <v>0</v>
      </c>
      <c r="H175" s="5">
        <f ca="1">IFERROR(__xludf.DUMMYFUNCTION("""COMPUTED_VALUE"""),1)</f>
        <v>1</v>
      </c>
      <c r="I175" s="5">
        <f ca="1">IFERROR(__xludf.DUMMYFUNCTION("""COMPUTED_VALUE"""),0)</f>
        <v>0</v>
      </c>
      <c r="J175" s="5">
        <f ca="1">IFERROR(__xludf.DUMMYFUNCTION("""COMPUTED_VALUE"""),4)</f>
        <v>4</v>
      </c>
      <c r="K175" s="5">
        <f ca="1">IFERROR(__xludf.DUMMYFUNCTION("""COMPUTED_VALUE"""),0)</f>
        <v>0</v>
      </c>
      <c r="L175" s="5">
        <f ca="1">IFERROR(__xludf.DUMMYFUNCTION("""COMPUTED_VALUE"""),1)</f>
        <v>1</v>
      </c>
      <c r="M175">
        <f ca="1">IFERROR(__xludf.DUMMYFUNCTION("""COMPUTED_VALUE"""),8)</f>
        <v>8</v>
      </c>
      <c r="N175" s="8"/>
    </row>
    <row r="176" spans="1:14" ht="12.45" hidden="1">
      <c r="A176" t="str">
        <f ca="1">IFERROR(__xludf.DUMMYFUNCTION("""COMPUTED_VALUE"""),"V-1-504")</f>
        <v>V-1-504</v>
      </c>
      <c r="B176" t="str">
        <f ca="1">IFERROR(__xludf.DUMMYFUNCTION("""COMPUTED_VALUE"""),"Сурмина")</f>
        <v>Сурмина</v>
      </c>
      <c r="C176" t="str">
        <f ca="1">IFERROR(__xludf.DUMMYFUNCTION("""COMPUTED_VALUE"""),"Карина")</f>
        <v>Карина</v>
      </c>
      <c r="D176" t="str">
        <f ca="1">IFERROR(__xludf.DUMMYFUNCTION("""COMPUTED_VALUE"""),"Гимназия 205")</f>
        <v>Гимназия 205</v>
      </c>
      <c r="E176" s="5">
        <f ca="1">IFERROR(__xludf.DUMMYFUNCTION("""COMPUTED_VALUE"""),0)</f>
        <v>0</v>
      </c>
      <c r="F176" s="5">
        <f ca="1">IFERROR(__xludf.DUMMYFUNCTION("""COMPUTED_VALUE"""),0)</f>
        <v>0</v>
      </c>
      <c r="G176" s="5">
        <f ca="1">IFERROR(__xludf.DUMMYFUNCTION("""COMPUTED_VALUE"""),3)</f>
        <v>3</v>
      </c>
      <c r="H176" s="5">
        <f ca="1">IFERROR(__xludf.DUMMYFUNCTION("""COMPUTED_VALUE"""),0)</f>
        <v>0</v>
      </c>
      <c r="I176" s="5">
        <f ca="1">IFERROR(__xludf.DUMMYFUNCTION("""COMPUTED_VALUE"""),0)</f>
        <v>0</v>
      </c>
      <c r="J176" s="5">
        <f ca="1">IFERROR(__xludf.DUMMYFUNCTION("""COMPUTED_VALUE"""),0)</f>
        <v>0</v>
      </c>
      <c r="K176" s="5">
        <f ca="1">IFERROR(__xludf.DUMMYFUNCTION("""COMPUTED_VALUE"""),4)</f>
        <v>4</v>
      </c>
      <c r="L176" s="5">
        <f ca="1">IFERROR(__xludf.DUMMYFUNCTION("""COMPUTED_VALUE"""),1)</f>
        <v>1</v>
      </c>
      <c r="M176">
        <f ca="1">IFERROR(__xludf.DUMMYFUNCTION("""COMPUTED_VALUE"""),8)</f>
        <v>8</v>
      </c>
      <c r="N176" s="8"/>
    </row>
    <row r="177" spans="1:14" ht="12.45" hidden="1">
      <c r="A177" t="str">
        <f ca="1">IFERROR(__xludf.DUMMYFUNCTION("""COMPUTED_VALUE"""),"III-1-036")</f>
        <v>III-1-036</v>
      </c>
      <c r="B177" t="str">
        <f ca="1">IFERROR(__xludf.DUMMYFUNCTION("""COMPUTED_VALUE"""),"Багненко")</f>
        <v>Багненко</v>
      </c>
      <c r="C177" t="str">
        <f ca="1">IFERROR(__xludf.DUMMYFUNCTION("""COMPUTED_VALUE"""),"Анастасия")</f>
        <v>Анастасия</v>
      </c>
      <c r="D177" t="str">
        <f ca="1">IFERROR(__xludf.DUMMYFUNCTION("""COMPUTED_VALUE"""),"Лицей 366")</f>
        <v>Лицей 366</v>
      </c>
      <c r="E177" s="5">
        <f ca="1">IFERROR(__xludf.DUMMYFUNCTION("""COMPUTED_VALUE"""),1)</f>
        <v>1</v>
      </c>
      <c r="F177" s="5">
        <f ca="1">IFERROR(__xludf.DUMMYFUNCTION("""COMPUTED_VALUE"""),3)</f>
        <v>3</v>
      </c>
      <c r="G177" s="5">
        <f ca="1">IFERROR(__xludf.DUMMYFUNCTION("""COMPUTED_VALUE"""),3)</f>
        <v>3</v>
      </c>
      <c r="H177" s="5">
        <f ca="1">IFERROR(__xludf.DUMMYFUNCTION("""COMPUTED_VALUE"""),0)</f>
        <v>0</v>
      </c>
      <c r="I177" s="5">
        <f ca="1">IFERROR(__xludf.DUMMYFUNCTION("""COMPUTED_VALUE"""),0)</f>
        <v>0</v>
      </c>
      <c r="J177" s="5">
        <f ca="1">IFERROR(__xludf.DUMMYFUNCTION("""COMPUTED_VALUE"""),0)</f>
        <v>0</v>
      </c>
      <c r="K177" s="5">
        <f ca="1">IFERROR(__xludf.DUMMYFUNCTION("""COMPUTED_VALUE"""),0)</f>
        <v>0</v>
      </c>
      <c r="L177" s="5">
        <f ca="1">IFERROR(__xludf.DUMMYFUNCTION("""COMPUTED_VALUE"""),1)</f>
        <v>1</v>
      </c>
      <c r="M177">
        <f ca="1">IFERROR(__xludf.DUMMYFUNCTION("""COMPUTED_VALUE"""),8)</f>
        <v>8</v>
      </c>
      <c r="N177" s="8"/>
    </row>
    <row r="178" spans="1:14" ht="12.45" hidden="1">
      <c r="A178" t="str">
        <f ca="1">IFERROR(__xludf.DUMMYFUNCTION("""COMPUTED_VALUE"""),"V-1-419")</f>
        <v>V-1-419</v>
      </c>
      <c r="B178" t="str">
        <f ca="1">IFERROR(__xludf.DUMMYFUNCTION("""COMPUTED_VALUE"""),"Приданова")</f>
        <v>Приданова</v>
      </c>
      <c r="C178" t="str">
        <f ca="1">IFERROR(__xludf.DUMMYFUNCTION("""COMPUTED_VALUE"""),"Арина")</f>
        <v>Арина</v>
      </c>
      <c r="D178" t="str">
        <f ca="1">IFERROR(__xludf.DUMMYFUNCTION("""COMPUTED_VALUE"""),"Гимназия 148")</f>
        <v>Гимназия 148</v>
      </c>
      <c r="E178" s="5">
        <f ca="1">IFERROR(__xludf.DUMMYFUNCTION("""COMPUTED_VALUE"""),0)</f>
        <v>0</v>
      </c>
      <c r="F178" s="5">
        <f ca="1">IFERROR(__xludf.DUMMYFUNCTION("""COMPUTED_VALUE"""),0)</f>
        <v>0</v>
      </c>
      <c r="G178" s="5">
        <f ca="1">IFERROR(__xludf.DUMMYFUNCTION("""COMPUTED_VALUE"""),3)</f>
        <v>3</v>
      </c>
      <c r="H178" s="5">
        <f ca="1">IFERROR(__xludf.DUMMYFUNCTION("""COMPUTED_VALUE"""),0)</f>
        <v>0</v>
      </c>
      <c r="I178" s="5">
        <f ca="1">IFERROR(__xludf.DUMMYFUNCTION("""COMPUTED_VALUE"""),0)</f>
        <v>0</v>
      </c>
      <c r="J178" s="5">
        <f ca="1">IFERROR(__xludf.DUMMYFUNCTION("""COMPUTED_VALUE"""),4)</f>
        <v>4</v>
      </c>
      <c r="K178" s="5">
        <f ca="1">IFERROR(__xludf.DUMMYFUNCTION("""COMPUTED_VALUE"""),0)</f>
        <v>0</v>
      </c>
      <c r="L178" s="5">
        <f ca="1">IFERROR(__xludf.DUMMYFUNCTION("""COMPUTED_VALUE"""),1)</f>
        <v>1</v>
      </c>
      <c r="M178">
        <f ca="1">IFERROR(__xludf.DUMMYFUNCTION("""COMPUTED_VALUE"""),8)</f>
        <v>8</v>
      </c>
      <c r="N178" s="8"/>
    </row>
    <row r="179" spans="1:14" ht="12.45" hidden="1">
      <c r="A179" t="str">
        <f ca="1">IFERROR(__xludf.DUMMYFUNCTION("""COMPUTED_VALUE"""),"III-1-258")</f>
        <v>III-1-258</v>
      </c>
      <c r="B179" t="str">
        <f ca="1">IFERROR(__xludf.DUMMYFUNCTION("""COMPUTED_VALUE"""),"Кострикин")</f>
        <v>Кострикин</v>
      </c>
      <c r="C179" t="str">
        <f ca="1">IFERROR(__xludf.DUMMYFUNCTION("""COMPUTED_VALUE"""),"Артём")</f>
        <v>Артём</v>
      </c>
      <c r="D179" t="str">
        <f ca="1">IFERROR(__xludf.DUMMYFUNCTION("""COMPUTED_VALUE"""),"Школа 508")</f>
        <v>Школа 508</v>
      </c>
      <c r="E179" s="5">
        <f ca="1">IFERROR(__xludf.DUMMYFUNCTION("""COMPUTED_VALUE"""),1)</f>
        <v>1</v>
      </c>
      <c r="F179" s="5">
        <f ca="1">IFERROR(__xludf.DUMMYFUNCTION("""COMPUTED_VALUE"""),3)</f>
        <v>3</v>
      </c>
      <c r="G179" s="5">
        <f ca="1">IFERROR(__xludf.DUMMYFUNCTION("""COMPUTED_VALUE"""),2)</f>
        <v>2</v>
      </c>
      <c r="H179" s="5">
        <f ca="1">IFERROR(__xludf.DUMMYFUNCTION("""COMPUTED_VALUE"""),1)</f>
        <v>1</v>
      </c>
      <c r="I179" s="5">
        <f ca="1">IFERROR(__xludf.DUMMYFUNCTION("""COMPUTED_VALUE"""),0)</f>
        <v>0</v>
      </c>
      <c r="J179" s="5">
        <f ca="1">IFERROR(__xludf.DUMMYFUNCTION("""COMPUTED_VALUE"""),0)</f>
        <v>0</v>
      </c>
      <c r="K179" s="5">
        <f ca="1">IFERROR(__xludf.DUMMYFUNCTION("""COMPUTED_VALUE"""),0)</f>
        <v>0</v>
      </c>
      <c r="L179" s="5">
        <f ca="1">IFERROR(__xludf.DUMMYFUNCTION("""COMPUTED_VALUE"""),1)</f>
        <v>1</v>
      </c>
      <c r="M179">
        <f ca="1">IFERROR(__xludf.DUMMYFUNCTION("""COMPUTED_VALUE"""),8)</f>
        <v>8</v>
      </c>
      <c r="N179" s="8"/>
    </row>
    <row r="180" spans="1:14" ht="12.45" hidden="1">
      <c r="A180" t="str">
        <f ca="1">IFERROR(__xludf.DUMMYFUNCTION("""COMPUTED_VALUE"""),"V-1-602")</f>
        <v>V-1-602</v>
      </c>
      <c r="B180" t="str">
        <f ca="1">IFERROR(__xludf.DUMMYFUNCTION("""COMPUTED_VALUE"""),"Шмидт")</f>
        <v>Шмидт</v>
      </c>
      <c r="C180" t="str">
        <f ca="1">IFERROR(__xludf.DUMMYFUNCTION("""COMPUTED_VALUE"""),"Александр")</f>
        <v>Александр</v>
      </c>
      <c r="D180" t="str">
        <f ca="1">IFERROR(__xludf.DUMMYFUNCTION("""COMPUTED_VALUE"""),"Гимназия 107")</f>
        <v>Гимназия 107</v>
      </c>
      <c r="E180" s="5">
        <f ca="1">IFERROR(__xludf.DUMMYFUNCTION("""COMPUTED_VALUE"""),1)</f>
        <v>1</v>
      </c>
      <c r="F180" s="5">
        <f ca="1">IFERROR(__xludf.DUMMYFUNCTION("""COMPUTED_VALUE"""),0)</f>
        <v>0</v>
      </c>
      <c r="G180" s="5">
        <f ca="1">IFERROR(__xludf.DUMMYFUNCTION("""COMPUTED_VALUE"""),3)</f>
        <v>3</v>
      </c>
      <c r="H180" s="5">
        <f ca="1">IFERROR(__xludf.DUMMYFUNCTION("""COMPUTED_VALUE"""),0)</f>
        <v>0</v>
      </c>
      <c r="I180" s="5">
        <f ca="1">IFERROR(__xludf.DUMMYFUNCTION("""COMPUTED_VALUE"""),0)</f>
        <v>0</v>
      </c>
      <c r="J180" s="5">
        <f ca="1">IFERROR(__xludf.DUMMYFUNCTION("""COMPUTED_VALUE"""),0)</f>
        <v>0</v>
      </c>
      <c r="K180" s="5">
        <f ca="1">IFERROR(__xludf.DUMMYFUNCTION("""COMPUTED_VALUE"""),4)</f>
        <v>4</v>
      </c>
      <c r="L180" s="5">
        <f ca="1">IFERROR(__xludf.DUMMYFUNCTION("""COMPUTED_VALUE"""),0)</f>
        <v>0</v>
      </c>
      <c r="M180">
        <f ca="1">IFERROR(__xludf.DUMMYFUNCTION("""COMPUTED_VALUE"""),8)</f>
        <v>8</v>
      </c>
      <c r="N180" s="8"/>
    </row>
    <row r="181" spans="1:14" ht="12.45" hidden="1">
      <c r="A181" t="str">
        <f ca="1">IFERROR(__xludf.DUMMYFUNCTION("""COMPUTED_VALUE"""),"III-1-218")</f>
        <v>III-1-218</v>
      </c>
      <c r="B181" t="str">
        <f ca="1">IFERROR(__xludf.DUMMYFUNCTION("""COMPUTED_VALUE"""),"Карапетянц")</f>
        <v>Карапетянц</v>
      </c>
      <c r="C181" t="str">
        <f ca="1">IFERROR(__xludf.DUMMYFUNCTION("""COMPUTED_VALUE"""),"Арина")</f>
        <v>Арина</v>
      </c>
      <c r="D181" t="str">
        <f ca="1">IFERROR(__xludf.DUMMYFUNCTION("""COMPUTED_VALUE"""),"Гимназия 498")</f>
        <v>Гимназия 498</v>
      </c>
      <c r="E181" s="5">
        <f ca="1">IFERROR(__xludf.DUMMYFUNCTION("""COMPUTED_VALUE"""),1)</f>
        <v>1</v>
      </c>
      <c r="F181" s="5">
        <f ca="1">IFERROR(__xludf.DUMMYFUNCTION("""COMPUTED_VALUE"""),0)</f>
        <v>0</v>
      </c>
      <c r="G181" s="5">
        <f ca="1">IFERROR(__xludf.DUMMYFUNCTION("""COMPUTED_VALUE"""),3)</f>
        <v>3</v>
      </c>
      <c r="H181" s="5">
        <f ca="1">IFERROR(__xludf.DUMMYFUNCTION("""COMPUTED_VALUE"""),0)</f>
        <v>0</v>
      </c>
      <c r="I181" s="5">
        <f ca="1">IFERROR(__xludf.DUMMYFUNCTION("""COMPUTED_VALUE"""),0)</f>
        <v>0</v>
      </c>
      <c r="J181" s="5">
        <f ca="1">IFERROR(__xludf.DUMMYFUNCTION("""COMPUTED_VALUE"""),4)</f>
        <v>4</v>
      </c>
      <c r="K181" s="5">
        <f ca="1">IFERROR(__xludf.DUMMYFUNCTION("""COMPUTED_VALUE"""),0)</f>
        <v>0</v>
      </c>
      <c r="L181" s="5">
        <f ca="1">IFERROR(__xludf.DUMMYFUNCTION("""COMPUTED_VALUE"""),0)</f>
        <v>0</v>
      </c>
      <c r="M181">
        <f ca="1">IFERROR(__xludf.DUMMYFUNCTION("""COMPUTED_VALUE"""),8)</f>
        <v>8</v>
      </c>
      <c r="N181" s="8"/>
    </row>
    <row r="182" spans="1:14" ht="12.45" hidden="1">
      <c r="A182" t="str">
        <f ca="1">IFERROR(__xludf.DUMMYFUNCTION("""COMPUTED_VALUE"""),"V-1-380")</f>
        <v>V-1-380</v>
      </c>
      <c r="B182" t="str">
        <f ca="1">IFERROR(__xludf.DUMMYFUNCTION("""COMPUTED_VALUE"""),"Орлова")</f>
        <v>Орлова</v>
      </c>
      <c r="C182" t="str">
        <f ca="1">IFERROR(__xludf.DUMMYFUNCTION("""COMPUTED_VALUE"""),"София")</f>
        <v>София</v>
      </c>
      <c r="D182" t="str">
        <f ca="1">IFERROR(__xludf.DUMMYFUNCTION("""COMPUTED_VALUE"""),"Гимназия 248")</f>
        <v>Гимназия 248</v>
      </c>
      <c r="E182" s="5">
        <f ca="1">IFERROR(__xludf.DUMMYFUNCTION("""COMPUTED_VALUE"""),2)</f>
        <v>2</v>
      </c>
      <c r="F182" s="5">
        <f ca="1">IFERROR(__xludf.DUMMYFUNCTION("""COMPUTED_VALUE"""),0)</f>
        <v>0</v>
      </c>
      <c r="G182" s="5">
        <f ca="1">IFERROR(__xludf.DUMMYFUNCTION("""COMPUTED_VALUE"""),0)</f>
        <v>0</v>
      </c>
      <c r="H182" s="5">
        <f ca="1">IFERROR(__xludf.DUMMYFUNCTION("""COMPUTED_VALUE"""),1)</f>
        <v>1</v>
      </c>
      <c r="I182" s="5">
        <f ca="1">IFERROR(__xludf.DUMMYFUNCTION("""COMPUTED_VALUE"""),0)</f>
        <v>0</v>
      </c>
      <c r="J182" s="5">
        <f ca="1">IFERROR(__xludf.DUMMYFUNCTION("""COMPUTED_VALUE"""),4)</f>
        <v>4</v>
      </c>
      <c r="K182" s="5">
        <f ca="1">IFERROR(__xludf.DUMMYFUNCTION("""COMPUTED_VALUE"""),0)</f>
        <v>0</v>
      </c>
      <c r="L182" s="5">
        <f ca="1">IFERROR(__xludf.DUMMYFUNCTION("""COMPUTED_VALUE"""),1)</f>
        <v>1</v>
      </c>
      <c r="M182">
        <f ca="1">IFERROR(__xludf.DUMMYFUNCTION("""COMPUTED_VALUE"""),8)</f>
        <v>8</v>
      </c>
      <c r="N182" s="8"/>
    </row>
    <row r="183" spans="1:14" ht="12.45" hidden="1">
      <c r="A183" t="str">
        <f ca="1">IFERROR(__xludf.DUMMYFUNCTION("""COMPUTED_VALUE"""),"V-1-453")</f>
        <v>V-1-453</v>
      </c>
      <c r="B183" t="str">
        <f ca="1">IFERROR(__xludf.DUMMYFUNCTION("""COMPUTED_VALUE"""),"Рябова")</f>
        <v>Рябова</v>
      </c>
      <c r="C183" t="str">
        <f ca="1">IFERROR(__xludf.DUMMYFUNCTION("""COMPUTED_VALUE"""),"Елизавета")</f>
        <v>Елизавета</v>
      </c>
      <c r="D183" t="str">
        <f ca="1">IFERROR(__xludf.DUMMYFUNCTION("""COMPUTED_VALUE"""),"Гимназия 248")</f>
        <v>Гимназия 248</v>
      </c>
      <c r="E183" s="5">
        <f ca="1">IFERROR(__xludf.DUMMYFUNCTION("""COMPUTED_VALUE"""),1)</f>
        <v>1</v>
      </c>
      <c r="F183" s="5">
        <f ca="1">IFERROR(__xludf.DUMMYFUNCTION("""COMPUTED_VALUE"""),3)</f>
        <v>3</v>
      </c>
      <c r="G183" s="5">
        <f ca="1">IFERROR(__xludf.DUMMYFUNCTION("""COMPUTED_VALUE"""),3)</f>
        <v>3</v>
      </c>
      <c r="H183" s="5">
        <f ca="1">IFERROR(__xludf.DUMMYFUNCTION("""COMPUTED_VALUE"""),0)</f>
        <v>0</v>
      </c>
      <c r="I183" s="5">
        <f ca="1">IFERROR(__xludf.DUMMYFUNCTION("""COMPUTED_VALUE"""),0)</f>
        <v>0</v>
      </c>
      <c r="J183" s="5"/>
      <c r="K183" s="5"/>
      <c r="L183" s="5">
        <f ca="1">IFERROR(__xludf.DUMMYFUNCTION("""COMPUTED_VALUE"""),1)</f>
        <v>1</v>
      </c>
      <c r="M183">
        <f ca="1">IFERROR(__xludf.DUMMYFUNCTION("""COMPUTED_VALUE"""),8)</f>
        <v>8</v>
      </c>
      <c r="N183" s="8"/>
    </row>
    <row r="184" spans="1:14" ht="12.45" hidden="1">
      <c r="A184" t="str">
        <f ca="1">IFERROR(__xludf.DUMMYFUNCTION("""COMPUTED_VALUE"""),"III-1-181")</f>
        <v>III-1-181</v>
      </c>
      <c r="B184" t="str">
        <f ca="1">IFERROR(__xludf.DUMMYFUNCTION("""COMPUTED_VALUE"""),"Ефремова")</f>
        <v>Ефремова</v>
      </c>
      <c r="C184" t="str">
        <f ca="1">IFERROR(__xludf.DUMMYFUNCTION("""COMPUTED_VALUE"""),"Дарья")</f>
        <v>Дарья</v>
      </c>
      <c r="D184" t="str">
        <f ca="1">IFERROR(__xludf.DUMMYFUNCTION("""COMPUTED_VALUE"""),"Гимназия 524")</f>
        <v>Гимназия 524</v>
      </c>
      <c r="E184" s="5">
        <f ca="1">IFERROR(__xludf.DUMMYFUNCTION("""COMPUTED_VALUE"""),2)</f>
        <v>2</v>
      </c>
      <c r="F184" s="5">
        <f ca="1">IFERROR(__xludf.DUMMYFUNCTION("""COMPUTED_VALUE"""),0)</f>
        <v>0</v>
      </c>
      <c r="G184" s="5">
        <f ca="1">IFERROR(__xludf.DUMMYFUNCTION("""COMPUTED_VALUE"""),0)</f>
        <v>0</v>
      </c>
      <c r="H184" s="5">
        <f ca="1">IFERROR(__xludf.DUMMYFUNCTION("""COMPUTED_VALUE"""),1)</f>
        <v>1</v>
      </c>
      <c r="I184" s="5">
        <f ca="1">IFERROR(__xludf.DUMMYFUNCTION("""COMPUTED_VALUE"""),0)</f>
        <v>0</v>
      </c>
      <c r="J184" s="5">
        <f ca="1">IFERROR(__xludf.DUMMYFUNCTION("""COMPUTED_VALUE"""),0)</f>
        <v>0</v>
      </c>
      <c r="K184" s="5">
        <f ca="1">IFERROR(__xludf.DUMMYFUNCTION("""COMPUTED_VALUE"""),4)</f>
        <v>4</v>
      </c>
      <c r="L184" s="5">
        <f ca="1">IFERROR(__xludf.DUMMYFUNCTION("""COMPUTED_VALUE"""),1)</f>
        <v>1</v>
      </c>
      <c r="M184">
        <f ca="1">IFERROR(__xludf.DUMMYFUNCTION("""COMPUTED_VALUE"""),8)</f>
        <v>8</v>
      </c>
      <c r="N184" s="8"/>
    </row>
    <row r="185" spans="1:14" ht="12.45" hidden="1">
      <c r="A185" t="str">
        <f ca="1">IFERROR(__xludf.DUMMYFUNCTION("""COMPUTED_VALUE"""),"III-1-264")</f>
        <v>III-1-264</v>
      </c>
      <c r="B185" t="str">
        <f ca="1">IFERROR(__xludf.DUMMYFUNCTION("""COMPUTED_VALUE"""),"Кочмала")</f>
        <v>Кочмала</v>
      </c>
      <c r="C185" t="str">
        <f ca="1">IFERROR(__xludf.DUMMYFUNCTION("""COMPUTED_VALUE"""),"Екатерина")</f>
        <v>Екатерина</v>
      </c>
      <c r="D185" t="str">
        <f ca="1">IFERROR(__xludf.DUMMYFUNCTION("""COMPUTED_VALUE"""),"Гимназия 524")</f>
        <v>Гимназия 524</v>
      </c>
      <c r="E185" s="5">
        <f ca="1">IFERROR(__xludf.DUMMYFUNCTION("""COMPUTED_VALUE"""),1)</f>
        <v>1</v>
      </c>
      <c r="F185" s="5">
        <f ca="1">IFERROR(__xludf.DUMMYFUNCTION("""COMPUTED_VALUE"""),3)</f>
        <v>3</v>
      </c>
      <c r="G185" s="5">
        <f ca="1">IFERROR(__xludf.DUMMYFUNCTION("""COMPUTED_VALUE"""),3)</f>
        <v>3</v>
      </c>
      <c r="H185" s="5"/>
      <c r="I185" s="5"/>
      <c r="J185" s="5"/>
      <c r="K185" s="5">
        <f ca="1">IFERROR(__xludf.DUMMYFUNCTION("""COMPUTED_VALUE"""),0)</f>
        <v>0</v>
      </c>
      <c r="L185" s="5">
        <f ca="1">IFERROR(__xludf.DUMMYFUNCTION("""COMPUTED_VALUE"""),1)</f>
        <v>1</v>
      </c>
      <c r="M185">
        <f ca="1">IFERROR(__xludf.DUMMYFUNCTION("""COMPUTED_VALUE"""),8)</f>
        <v>8</v>
      </c>
      <c r="N185" s="8"/>
    </row>
    <row r="186" spans="1:14" ht="12.45" hidden="1">
      <c r="A186" t="str">
        <f ca="1">IFERROR(__xludf.DUMMYFUNCTION("""COMPUTED_VALUE"""),"III-1-263")</f>
        <v>III-1-263</v>
      </c>
      <c r="B186" t="str">
        <f ca="1">IFERROR(__xludf.DUMMYFUNCTION("""COMPUTED_VALUE"""),"Кочина")</f>
        <v>Кочина</v>
      </c>
      <c r="C186" t="str">
        <f ca="1">IFERROR(__xludf.DUMMYFUNCTION("""COMPUTED_VALUE"""),"Анастасия")</f>
        <v>Анастасия</v>
      </c>
      <c r="D186" t="str">
        <f ca="1">IFERROR(__xludf.DUMMYFUNCTION("""COMPUTED_VALUE"""),"Школа 222")</f>
        <v>Школа 222</v>
      </c>
      <c r="E186" s="5">
        <f ca="1">IFERROR(__xludf.DUMMYFUNCTION("""COMPUTED_VALUE"""),0)</f>
        <v>0</v>
      </c>
      <c r="F186" s="5">
        <f ca="1">IFERROR(__xludf.DUMMYFUNCTION("""COMPUTED_VALUE"""),3)</f>
        <v>3</v>
      </c>
      <c r="G186" s="5">
        <f ca="1">IFERROR(__xludf.DUMMYFUNCTION("""COMPUTED_VALUE"""),0)</f>
        <v>0</v>
      </c>
      <c r="H186" s="5">
        <f ca="1">IFERROR(__xludf.DUMMYFUNCTION("""COMPUTED_VALUE"""),0)</f>
        <v>0</v>
      </c>
      <c r="I186" s="5">
        <f ca="1">IFERROR(__xludf.DUMMYFUNCTION("""COMPUTED_VALUE"""),0)</f>
        <v>0</v>
      </c>
      <c r="J186" s="5">
        <f ca="1">IFERROR(__xludf.DUMMYFUNCTION("""COMPUTED_VALUE"""),4)</f>
        <v>4</v>
      </c>
      <c r="K186" s="5">
        <f ca="1">IFERROR(__xludf.DUMMYFUNCTION("""COMPUTED_VALUE"""),0)</f>
        <v>0</v>
      </c>
      <c r="L186" s="5">
        <f ca="1">IFERROR(__xludf.DUMMYFUNCTION("""COMPUTED_VALUE"""),1)</f>
        <v>1</v>
      </c>
      <c r="M186">
        <f ca="1">IFERROR(__xludf.DUMMYFUNCTION("""COMPUTED_VALUE"""),8)</f>
        <v>8</v>
      </c>
      <c r="N186" s="8"/>
    </row>
    <row r="187" spans="1:14" ht="12.45" hidden="1">
      <c r="A187" t="str">
        <f ca="1">IFERROR(__xludf.DUMMYFUNCTION("""COMPUTED_VALUE"""),"V-1-459")</f>
        <v>V-1-459</v>
      </c>
      <c r="B187" t="str">
        <f ca="1">IFERROR(__xludf.DUMMYFUNCTION("""COMPUTED_VALUE"""),"Сафронов")</f>
        <v>Сафронов</v>
      </c>
      <c r="C187" t="str">
        <f ca="1">IFERROR(__xludf.DUMMYFUNCTION("""COMPUTED_VALUE"""),"Руслан")</f>
        <v>Руслан</v>
      </c>
      <c r="D187" t="str">
        <f ca="1">IFERROR(__xludf.DUMMYFUNCTION("""COMPUTED_VALUE"""),"Школа 65")</f>
        <v>Школа 65</v>
      </c>
      <c r="E187" s="5">
        <f ca="1">IFERROR(__xludf.DUMMYFUNCTION("""COMPUTED_VALUE"""),2)</f>
        <v>2</v>
      </c>
      <c r="F187" s="5">
        <f ca="1">IFERROR(__xludf.DUMMYFUNCTION("""COMPUTED_VALUE"""),0)</f>
        <v>0</v>
      </c>
      <c r="G187" s="5">
        <f ca="1">IFERROR(__xludf.DUMMYFUNCTION("""COMPUTED_VALUE"""),3)</f>
        <v>3</v>
      </c>
      <c r="H187" s="5">
        <f ca="1">IFERROR(__xludf.DUMMYFUNCTION("""COMPUTED_VALUE"""),0)</f>
        <v>0</v>
      </c>
      <c r="I187" s="5">
        <f ca="1">IFERROR(__xludf.DUMMYFUNCTION("""COMPUTED_VALUE"""),2)</f>
        <v>2</v>
      </c>
      <c r="J187" s="5">
        <f ca="1">IFERROR(__xludf.DUMMYFUNCTION("""COMPUTED_VALUE"""),0)</f>
        <v>0</v>
      </c>
      <c r="K187" s="5">
        <f ca="1">IFERROR(__xludf.DUMMYFUNCTION("""COMPUTED_VALUE"""),0)</f>
        <v>0</v>
      </c>
      <c r="L187" s="5">
        <f ca="1">IFERROR(__xludf.DUMMYFUNCTION("""COMPUTED_VALUE"""),1)</f>
        <v>1</v>
      </c>
      <c r="M187">
        <f ca="1">IFERROR(__xludf.DUMMYFUNCTION("""COMPUTED_VALUE"""),8)</f>
        <v>8</v>
      </c>
      <c r="N187" s="8"/>
    </row>
    <row r="188" spans="1:14" ht="12.45" hidden="1">
      <c r="A188" t="str">
        <f ca="1">IFERROR(__xludf.DUMMYFUNCTION("""COMPUTED_VALUE"""),"V-1-518")</f>
        <v>V-1-518</v>
      </c>
      <c r="B188" t="str">
        <f ca="1">IFERROR(__xludf.DUMMYFUNCTION("""COMPUTED_VALUE"""),"Тимерова")</f>
        <v>Тимерова</v>
      </c>
      <c r="C188" t="str">
        <f ca="1">IFERROR(__xludf.DUMMYFUNCTION("""COMPUTED_VALUE"""),"Рината")</f>
        <v>Рината</v>
      </c>
      <c r="D188" t="str">
        <f ca="1">IFERROR(__xludf.DUMMYFUNCTION("""COMPUTED_VALUE"""),"Лицей 470")</f>
        <v>Лицей 470</v>
      </c>
      <c r="E188" s="5">
        <f ca="1">IFERROR(__xludf.DUMMYFUNCTION("""COMPUTED_VALUE"""),1)</f>
        <v>1</v>
      </c>
      <c r="F188" s="5">
        <f ca="1">IFERROR(__xludf.DUMMYFUNCTION("""COMPUTED_VALUE"""),1)</f>
        <v>1</v>
      </c>
      <c r="G188" s="5"/>
      <c r="H188" s="5"/>
      <c r="I188" s="5"/>
      <c r="J188" s="5">
        <f ca="1">IFERROR(__xludf.DUMMYFUNCTION("""COMPUTED_VALUE"""),4)</f>
        <v>4</v>
      </c>
      <c r="K188" s="5"/>
      <c r="L188" s="5">
        <f ca="1">IFERROR(__xludf.DUMMYFUNCTION("""COMPUTED_VALUE"""),1)</f>
        <v>1</v>
      </c>
      <c r="M188">
        <f ca="1">IFERROR(__xludf.DUMMYFUNCTION("""COMPUTED_VALUE"""),7)</f>
        <v>7</v>
      </c>
      <c r="N188" s="8"/>
    </row>
    <row r="189" spans="1:14" ht="12.45" hidden="1">
      <c r="A189" t="str">
        <f ca="1">IFERROR(__xludf.DUMMYFUNCTION("""COMPUTED_VALUE"""),"V-1-526")</f>
        <v>V-1-526</v>
      </c>
      <c r="B189" t="str">
        <f ca="1">IFERROR(__xludf.DUMMYFUNCTION("""COMPUTED_VALUE"""),"Тонофа")</f>
        <v>Тонофа</v>
      </c>
      <c r="C189" t="str">
        <f ca="1">IFERROR(__xludf.DUMMYFUNCTION("""COMPUTED_VALUE"""),"Кирилл")</f>
        <v>Кирилл</v>
      </c>
      <c r="D189" t="str">
        <f ca="1">IFERROR(__xludf.DUMMYFUNCTION("""COMPUTED_VALUE"""),"Школа 230")</f>
        <v>Школа 230</v>
      </c>
      <c r="E189" s="5">
        <f ca="1">IFERROR(__xludf.DUMMYFUNCTION("""COMPUTED_VALUE"""),2)</f>
        <v>2</v>
      </c>
      <c r="F189" s="5">
        <f ca="1">IFERROR(__xludf.DUMMYFUNCTION("""COMPUTED_VALUE"""),0)</f>
        <v>0</v>
      </c>
      <c r="G189" s="5"/>
      <c r="H189" s="5">
        <f ca="1">IFERROR(__xludf.DUMMYFUNCTION("""COMPUTED_VALUE"""),0)</f>
        <v>0</v>
      </c>
      <c r="I189" s="5">
        <f ca="1">IFERROR(__xludf.DUMMYFUNCTION("""COMPUTED_VALUE"""),0)</f>
        <v>0</v>
      </c>
      <c r="J189" s="5">
        <f ca="1">IFERROR(__xludf.DUMMYFUNCTION("""COMPUTED_VALUE"""),4)</f>
        <v>4</v>
      </c>
      <c r="K189" s="5"/>
      <c r="L189" s="5">
        <f ca="1">IFERROR(__xludf.DUMMYFUNCTION("""COMPUTED_VALUE"""),1)</f>
        <v>1</v>
      </c>
      <c r="M189">
        <f ca="1">IFERROR(__xludf.DUMMYFUNCTION("""COMPUTED_VALUE"""),7)</f>
        <v>7</v>
      </c>
      <c r="N189" s="8"/>
    </row>
    <row r="190" spans="1:14" ht="12.45" hidden="1">
      <c r="A190" t="str">
        <f ca="1">IFERROR(__xludf.DUMMYFUNCTION("""COMPUTED_VALUE"""),"III-1-179")</f>
        <v>III-1-179</v>
      </c>
      <c r="B190" t="str">
        <f ca="1">IFERROR(__xludf.DUMMYFUNCTION("""COMPUTED_VALUE"""),"Ершова")</f>
        <v>Ершова</v>
      </c>
      <c r="C190" t="str">
        <f ca="1">IFERROR(__xludf.DUMMYFUNCTION("""COMPUTED_VALUE"""),"Татьяна")</f>
        <v>Татьяна</v>
      </c>
      <c r="D190" t="str">
        <f ca="1">IFERROR(__xludf.DUMMYFUNCTION("""COMPUTED_VALUE"""),"Школа 13")</f>
        <v>Школа 13</v>
      </c>
      <c r="E190" s="5">
        <f ca="1">IFERROR(__xludf.DUMMYFUNCTION("""COMPUTED_VALUE"""),0)</f>
        <v>0</v>
      </c>
      <c r="F190" s="5">
        <f ca="1">IFERROR(__xludf.DUMMYFUNCTION("""COMPUTED_VALUE"""),3)</f>
        <v>3</v>
      </c>
      <c r="G190" s="5">
        <f ca="1">IFERROR(__xludf.DUMMYFUNCTION("""COMPUTED_VALUE"""),3)</f>
        <v>3</v>
      </c>
      <c r="H190" s="5">
        <f ca="1">IFERROR(__xludf.DUMMYFUNCTION("""COMPUTED_VALUE"""),0)</f>
        <v>0</v>
      </c>
      <c r="I190" s="5">
        <f ca="1">IFERROR(__xludf.DUMMYFUNCTION("""COMPUTED_VALUE"""),1)</f>
        <v>1</v>
      </c>
      <c r="J190" s="5">
        <f ca="1">IFERROR(__xludf.DUMMYFUNCTION("""COMPUTED_VALUE"""),0)</f>
        <v>0</v>
      </c>
      <c r="K190" s="5">
        <f ca="1">IFERROR(__xludf.DUMMYFUNCTION("""COMPUTED_VALUE"""),0)</f>
        <v>0</v>
      </c>
      <c r="L190" s="5">
        <f ca="1">IFERROR(__xludf.DUMMYFUNCTION("""COMPUTED_VALUE"""),0)</f>
        <v>0</v>
      </c>
      <c r="M190">
        <f ca="1">IFERROR(__xludf.DUMMYFUNCTION("""COMPUTED_VALUE"""),7)</f>
        <v>7</v>
      </c>
      <c r="N190" s="8"/>
    </row>
    <row r="191" spans="1:14" ht="12.45" hidden="1">
      <c r="A191" t="str">
        <f ca="1">IFERROR(__xludf.DUMMYFUNCTION("""COMPUTED_VALUE"""),"III-1-020")</f>
        <v>III-1-020</v>
      </c>
      <c r="B191" t="str">
        <f ca="1">IFERROR(__xludf.DUMMYFUNCTION("""COMPUTED_VALUE"""),"Андриянец")</f>
        <v>Андриянец</v>
      </c>
      <c r="C191" t="str">
        <f ca="1">IFERROR(__xludf.DUMMYFUNCTION("""COMPUTED_VALUE"""),"Антон")</f>
        <v>Антон</v>
      </c>
      <c r="D191" t="str">
        <f ca="1">IFERROR(__xludf.DUMMYFUNCTION("""COMPUTED_VALUE"""),"Гимназия 32")</f>
        <v>Гимназия 32</v>
      </c>
      <c r="E191" s="5">
        <f ca="1">IFERROR(__xludf.DUMMYFUNCTION("""COMPUTED_VALUE"""),2)</f>
        <v>2</v>
      </c>
      <c r="F191" s="5">
        <f ca="1">IFERROR(__xludf.DUMMYFUNCTION("""COMPUTED_VALUE"""),3)</f>
        <v>3</v>
      </c>
      <c r="G191" s="5">
        <f ca="1">IFERROR(__xludf.DUMMYFUNCTION("""COMPUTED_VALUE"""),0)</f>
        <v>0</v>
      </c>
      <c r="H191" s="5">
        <f ca="1">IFERROR(__xludf.DUMMYFUNCTION("""COMPUTED_VALUE"""),1)</f>
        <v>1</v>
      </c>
      <c r="I191" s="5">
        <f ca="1">IFERROR(__xludf.DUMMYFUNCTION("""COMPUTED_VALUE"""),0)</f>
        <v>0</v>
      </c>
      <c r="J191" s="5">
        <f ca="1">IFERROR(__xludf.DUMMYFUNCTION("""COMPUTED_VALUE"""),0)</f>
        <v>0</v>
      </c>
      <c r="K191" s="5">
        <f ca="1">IFERROR(__xludf.DUMMYFUNCTION("""COMPUTED_VALUE"""),0)</f>
        <v>0</v>
      </c>
      <c r="L191" s="5">
        <f ca="1">IFERROR(__xludf.DUMMYFUNCTION("""COMPUTED_VALUE"""),1)</f>
        <v>1</v>
      </c>
      <c r="M191">
        <f ca="1">IFERROR(__xludf.DUMMYFUNCTION("""COMPUTED_VALUE"""),7)</f>
        <v>7</v>
      </c>
      <c r="N191" s="8"/>
    </row>
    <row r="192" spans="1:14" ht="12.45" hidden="1">
      <c r="A192" t="str">
        <f ca="1">IFERROR(__xludf.DUMMYFUNCTION("""COMPUTED_VALUE"""),"III-1-209")</f>
        <v>III-1-209</v>
      </c>
      <c r="B192" t="str">
        <f ca="1">IFERROR(__xludf.DUMMYFUNCTION("""COMPUTED_VALUE"""),"Ильменков")</f>
        <v>Ильменков</v>
      </c>
      <c r="C192" t="str">
        <f ca="1">IFERROR(__xludf.DUMMYFUNCTION("""COMPUTED_VALUE"""),"Константин")</f>
        <v>Константин</v>
      </c>
      <c r="D192" t="str">
        <f ca="1">IFERROR(__xludf.DUMMYFUNCTION("""COMPUTED_VALUE"""),"Гимназия 92")</f>
        <v>Гимназия 92</v>
      </c>
      <c r="E192" s="5">
        <f ca="1">IFERROR(__xludf.DUMMYFUNCTION("""COMPUTED_VALUE"""),2)</f>
        <v>2</v>
      </c>
      <c r="F192" s="5">
        <f ca="1">IFERROR(__xludf.DUMMYFUNCTION("""COMPUTED_VALUE"""),0)</f>
        <v>0</v>
      </c>
      <c r="G192" s="5">
        <f ca="1">IFERROR(__xludf.DUMMYFUNCTION("""COMPUTED_VALUE"""),3)</f>
        <v>3</v>
      </c>
      <c r="H192" s="5">
        <f ca="1">IFERROR(__xludf.DUMMYFUNCTION("""COMPUTED_VALUE"""),1)</f>
        <v>1</v>
      </c>
      <c r="I192" s="5">
        <f ca="1">IFERROR(__xludf.DUMMYFUNCTION("""COMPUTED_VALUE"""),0)</f>
        <v>0</v>
      </c>
      <c r="J192" s="5">
        <f ca="1">IFERROR(__xludf.DUMMYFUNCTION("""COMPUTED_VALUE"""),0)</f>
        <v>0</v>
      </c>
      <c r="K192" s="5">
        <f ca="1">IFERROR(__xludf.DUMMYFUNCTION("""COMPUTED_VALUE"""),0)</f>
        <v>0</v>
      </c>
      <c r="L192" s="5">
        <f ca="1">IFERROR(__xludf.DUMMYFUNCTION("""COMPUTED_VALUE"""),1)</f>
        <v>1</v>
      </c>
      <c r="M192">
        <f ca="1">IFERROR(__xludf.DUMMYFUNCTION("""COMPUTED_VALUE"""),7)</f>
        <v>7</v>
      </c>
      <c r="N192" s="8"/>
    </row>
    <row r="193" spans="1:14" ht="12.45" hidden="1">
      <c r="A193" t="str">
        <f ca="1">IFERROR(__xludf.DUMMYFUNCTION("""COMPUTED_VALUE"""),"V-1-508")</f>
        <v>V-1-508</v>
      </c>
      <c r="B193" t="str">
        <f ca="1">IFERROR(__xludf.DUMMYFUNCTION("""COMPUTED_VALUE"""),"Сысоев")</f>
        <v>Сысоев</v>
      </c>
      <c r="C193" t="str">
        <f ca="1">IFERROR(__xludf.DUMMYFUNCTION("""COMPUTED_VALUE"""),"Ярослав")</f>
        <v>Ярослав</v>
      </c>
      <c r="D193" t="str">
        <f ca="1">IFERROR(__xludf.DUMMYFUNCTION("""COMPUTED_VALUE"""),"Школа 348")</f>
        <v>Школа 348</v>
      </c>
      <c r="E193" s="5">
        <f ca="1">IFERROR(__xludf.DUMMYFUNCTION("""COMPUTED_VALUE"""),0)</f>
        <v>0</v>
      </c>
      <c r="F193" s="5">
        <f ca="1">IFERROR(__xludf.DUMMYFUNCTION("""COMPUTED_VALUE"""),3)</f>
        <v>3</v>
      </c>
      <c r="G193" s="5">
        <f ca="1">IFERROR(__xludf.DUMMYFUNCTION("""COMPUTED_VALUE"""),3)</f>
        <v>3</v>
      </c>
      <c r="H193" s="5"/>
      <c r="I193" s="5"/>
      <c r="J193" s="5"/>
      <c r="K193" s="5">
        <f ca="1">IFERROR(__xludf.DUMMYFUNCTION("""COMPUTED_VALUE"""),0)</f>
        <v>0</v>
      </c>
      <c r="L193" s="5">
        <f ca="1">IFERROR(__xludf.DUMMYFUNCTION("""COMPUTED_VALUE"""),1)</f>
        <v>1</v>
      </c>
      <c r="M193">
        <f ca="1">IFERROR(__xludf.DUMMYFUNCTION("""COMPUTED_VALUE"""),7)</f>
        <v>7</v>
      </c>
      <c r="N193" s="8"/>
    </row>
    <row r="194" spans="1:14" ht="12.45" hidden="1">
      <c r="A194" t="str">
        <f ca="1">IFERROR(__xludf.DUMMYFUNCTION("""COMPUTED_VALUE"""),"III-1-005")</f>
        <v>III-1-005</v>
      </c>
      <c r="B194" t="str">
        <f ca="1">IFERROR(__xludf.DUMMYFUNCTION("""COMPUTED_VALUE"""),"Авхименьева")</f>
        <v>Авхименьева</v>
      </c>
      <c r="C194" t="str">
        <f ca="1">IFERROR(__xludf.DUMMYFUNCTION("""COMPUTED_VALUE"""),"Амалия")</f>
        <v>Амалия</v>
      </c>
      <c r="D194" t="str">
        <f ca="1">IFERROR(__xludf.DUMMYFUNCTION("""COMPUTED_VALUE"""),"Гимназия 261")</f>
        <v>Гимназия 261</v>
      </c>
      <c r="E194" s="5"/>
      <c r="F194" s="5">
        <f ca="1">IFERROR(__xludf.DUMMYFUNCTION("""COMPUTED_VALUE"""),3)</f>
        <v>3</v>
      </c>
      <c r="G194" s="5">
        <f ca="1">IFERROR(__xludf.DUMMYFUNCTION("""COMPUTED_VALUE"""),3)</f>
        <v>3</v>
      </c>
      <c r="H194" s="5"/>
      <c r="I194" s="5"/>
      <c r="J194" s="5">
        <f ca="1">IFERROR(__xludf.DUMMYFUNCTION("""COMPUTED_VALUE"""),0)</f>
        <v>0</v>
      </c>
      <c r="K194" s="5"/>
      <c r="L194" s="5">
        <f ca="1">IFERROR(__xludf.DUMMYFUNCTION("""COMPUTED_VALUE"""),1)</f>
        <v>1</v>
      </c>
      <c r="M194">
        <f ca="1">IFERROR(__xludf.DUMMYFUNCTION("""COMPUTED_VALUE"""),7)</f>
        <v>7</v>
      </c>
      <c r="N194" s="8"/>
    </row>
    <row r="195" spans="1:14" ht="12.45" hidden="1">
      <c r="A195" t="str">
        <f ca="1">IFERROR(__xludf.DUMMYFUNCTION("""COMPUTED_VALUE"""),"III-1-146")</f>
        <v>III-1-146</v>
      </c>
      <c r="B195" t="str">
        <f ca="1">IFERROR(__xludf.DUMMYFUNCTION("""COMPUTED_VALUE"""),"Гусаков")</f>
        <v>Гусаков</v>
      </c>
      <c r="C195" t="str">
        <f ca="1">IFERROR(__xludf.DUMMYFUNCTION("""COMPUTED_VALUE"""),"Кирилл")</f>
        <v>Кирилл</v>
      </c>
      <c r="D195" t="str">
        <f ca="1">IFERROR(__xludf.DUMMYFUNCTION("""COMPUTED_VALUE"""),"Гимназия 261")</f>
        <v>Гимназия 261</v>
      </c>
      <c r="E195" s="5">
        <f ca="1">IFERROR(__xludf.DUMMYFUNCTION("""COMPUTED_VALUE"""),1)</f>
        <v>1</v>
      </c>
      <c r="F195" s="5">
        <f ca="1">IFERROR(__xludf.DUMMYFUNCTION("""COMPUTED_VALUE"""),3)</f>
        <v>3</v>
      </c>
      <c r="G195" s="5">
        <f ca="1">IFERROR(__xludf.DUMMYFUNCTION("""COMPUTED_VALUE"""),3)</f>
        <v>3</v>
      </c>
      <c r="H195" s="5">
        <f ca="1">IFERROR(__xludf.DUMMYFUNCTION("""COMPUTED_VALUE"""),0)</f>
        <v>0</v>
      </c>
      <c r="I195" s="5">
        <f ca="1">IFERROR(__xludf.DUMMYFUNCTION("""COMPUTED_VALUE"""),0)</f>
        <v>0</v>
      </c>
      <c r="J195" s="5">
        <f ca="1">IFERROR(__xludf.DUMMYFUNCTION("""COMPUTED_VALUE"""),0)</f>
        <v>0</v>
      </c>
      <c r="K195" s="5">
        <f ca="1">IFERROR(__xludf.DUMMYFUNCTION("""COMPUTED_VALUE"""),0)</f>
        <v>0</v>
      </c>
      <c r="L195" s="5">
        <f ca="1">IFERROR(__xludf.DUMMYFUNCTION("""COMPUTED_VALUE"""),0)</f>
        <v>0</v>
      </c>
      <c r="M195">
        <f ca="1">IFERROR(__xludf.DUMMYFUNCTION("""COMPUTED_VALUE"""),7)</f>
        <v>7</v>
      </c>
      <c r="N195" s="8"/>
    </row>
    <row r="196" spans="1:14" ht="12.45" hidden="1">
      <c r="A196" t="str">
        <f ca="1">IFERROR(__xludf.DUMMYFUNCTION("""COMPUTED_VALUE"""),"V-1-490")</f>
        <v>V-1-490</v>
      </c>
      <c r="B196" t="str">
        <f ca="1">IFERROR(__xludf.DUMMYFUNCTION("""COMPUTED_VALUE"""),"Спирин")</f>
        <v>Спирин</v>
      </c>
      <c r="C196" t="str">
        <f ca="1">IFERROR(__xludf.DUMMYFUNCTION("""COMPUTED_VALUE"""),"Руслан")</f>
        <v>Руслан</v>
      </c>
      <c r="D196" t="str">
        <f ca="1">IFERROR(__xludf.DUMMYFUNCTION("""COMPUTED_VALUE"""),"Школа 246")</f>
        <v>Школа 246</v>
      </c>
      <c r="E196" s="5">
        <f ca="1">IFERROR(__xludf.DUMMYFUNCTION("""COMPUTED_VALUE"""),0)</f>
        <v>0</v>
      </c>
      <c r="F196" s="5">
        <f ca="1">IFERROR(__xludf.DUMMYFUNCTION("""COMPUTED_VALUE"""),3)</f>
        <v>3</v>
      </c>
      <c r="G196" s="5">
        <f ca="1">IFERROR(__xludf.DUMMYFUNCTION("""COMPUTED_VALUE"""),3)</f>
        <v>3</v>
      </c>
      <c r="H196" s="5"/>
      <c r="I196" s="5"/>
      <c r="J196" s="5"/>
      <c r="K196" s="5">
        <f ca="1">IFERROR(__xludf.DUMMYFUNCTION("""COMPUTED_VALUE"""),0)</f>
        <v>0</v>
      </c>
      <c r="L196" s="5">
        <f ca="1">IFERROR(__xludf.DUMMYFUNCTION("""COMPUTED_VALUE"""),1)</f>
        <v>1</v>
      </c>
      <c r="M196">
        <f ca="1">IFERROR(__xludf.DUMMYFUNCTION("""COMPUTED_VALUE"""),7)</f>
        <v>7</v>
      </c>
      <c r="N196" s="8"/>
    </row>
    <row r="197" spans="1:14" ht="12.45" hidden="1">
      <c r="A197" t="str">
        <f ca="1">IFERROR(__xludf.DUMMYFUNCTION("""COMPUTED_VALUE"""),"III-1-144")</f>
        <v>III-1-144</v>
      </c>
      <c r="B197" t="str">
        <f ca="1">IFERROR(__xludf.DUMMYFUNCTION("""COMPUTED_VALUE"""),"Грушевская")</f>
        <v>Грушевская</v>
      </c>
      <c r="C197" t="str">
        <f ca="1">IFERROR(__xludf.DUMMYFUNCTION("""COMPUTED_VALUE"""),"София")</f>
        <v>София</v>
      </c>
      <c r="D197" t="str">
        <f ca="1">IFERROR(__xludf.DUMMYFUNCTION("""COMPUTED_VALUE"""),"Гимназия 343")</f>
        <v>Гимназия 343</v>
      </c>
      <c r="E197" s="5">
        <f ca="1">IFERROR(__xludf.DUMMYFUNCTION("""COMPUTED_VALUE"""),2)</f>
        <v>2</v>
      </c>
      <c r="F197" s="5">
        <f ca="1">IFERROR(__xludf.DUMMYFUNCTION("""COMPUTED_VALUE"""),3)</f>
        <v>3</v>
      </c>
      <c r="G197" s="5">
        <f ca="1">IFERROR(__xludf.DUMMYFUNCTION("""COMPUTED_VALUE"""),0)</f>
        <v>0</v>
      </c>
      <c r="H197" s="5">
        <f ca="1">IFERROR(__xludf.DUMMYFUNCTION("""COMPUTED_VALUE"""),0)</f>
        <v>0</v>
      </c>
      <c r="I197" s="5">
        <f ca="1">IFERROR(__xludf.DUMMYFUNCTION("""COMPUTED_VALUE"""),0)</f>
        <v>0</v>
      </c>
      <c r="J197" s="5">
        <f ca="1">IFERROR(__xludf.DUMMYFUNCTION("""COMPUTED_VALUE"""),1)</f>
        <v>1</v>
      </c>
      <c r="K197" s="5">
        <f ca="1">IFERROR(__xludf.DUMMYFUNCTION("""COMPUTED_VALUE"""),0)</f>
        <v>0</v>
      </c>
      <c r="L197" s="5">
        <f ca="1">IFERROR(__xludf.DUMMYFUNCTION("""COMPUTED_VALUE"""),1)</f>
        <v>1</v>
      </c>
      <c r="M197">
        <f ca="1">IFERROR(__xludf.DUMMYFUNCTION("""COMPUTED_VALUE"""),7)</f>
        <v>7</v>
      </c>
      <c r="N197" s="8"/>
    </row>
    <row r="198" spans="1:14" ht="12.45" hidden="1">
      <c r="A198" t="str">
        <f ca="1">IFERROR(__xludf.DUMMYFUNCTION("""COMPUTED_VALUE"""),"III-1-056")</f>
        <v>III-1-056</v>
      </c>
      <c r="B198" t="str">
        <f ca="1">IFERROR(__xludf.DUMMYFUNCTION("""COMPUTED_VALUE"""),"Белоцерковская")</f>
        <v>Белоцерковская</v>
      </c>
      <c r="C198" t="str">
        <f ca="1">IFERROR(__xludf.DUMMYFUNCTION("""COMPUTED_VALUE"""),"Богдана")</f>
        <v>Богдана</v>
      </c>
      <c r="D198" t="str">
        <f ca="1">IFERROR(__xludf.DUMMYFUNCTION("""COMPUTED_VALUE"""),"Лицей 40")</f>
        <v>Лицей 40</v>
      </c>
      <c r="E198" s="5">
        <f ca="1">IFERROR(__xludf.DUMMYFUNCTION("""COMPUTED_VALUE"""),2)</f>
        <v>2</v>
      </c>
      <c r="F198" s="5">
        <f ca="1">IFERROR(__xludf.DUMMYFUNCTION("""COMPUTED_VALUE"""),0)</f>
        <v>0</v>
      </c>
      <c r="G198" s="5">
        <f ca="1">IFERROR(__xludf.DUMMYFUNCTION("""COMPUTED_VALUE"""),0)</f>
        <v>0</v>
      </c>
      <c r="H198" s="5">
        <f ca="1">IFERROR(__xludf.DUMMYFUNCTION("""COMPUTED_VALUE"""),0)</f>
        <v>0</v>
      </c>
      <c r="I198" s="5">
        <f ca="1">IFERROR(__xludf.DUMMYFUNCTION("""COMPUTED_VALUE"""),0)</f>
        <v>0</v>
      </c>
      <c r="J198" s="5">
        <f ca="1">IFERROR(__xludf.DUMMYFUNCTION("""COMPUTED_VALUE"""),4)</f>
        <v>4</v>
      </c>
      <c r="K198" s="5">
        <f ca="1">IFERROR(__xludf.DUMMYFUNCTION("""COMPUTED_VALUE"""),0)</f>
        <v>0</v>
      </c>
      <c r="L198" s="5">
        <f ca="1">IFERROR(__xludf.DUMMYFUNCTION("""COMPUTED_VALUE"""),1)</f>
        <v>1</v>
      </c>
      <c r="M198">
        <f ca="1">IFERROR(__xludf.DUMMYFUNCTION("""COMPUTED_VALUE"""),7)</f>
        <v>7</v>
      </c>
      <c r="N198" s="8"/>
    </row>
    <row r="199" spans="1:14" ht="12.45" hidden="1">
      <c r="A199" t="str">
        <f ca="1">IFERROR(__xludf.DUMMYFUNCTION("""COMPUTED_VALUE"""),"III-1-224")</f>
        <v>III-1-224</v>
      </c>
      <c r="B199" t="str">
        <f ca="1">IFERROR(__xludf.DUMMYFUNCTION("""COMPUTED_VALUE"""),"Кашменский")</f>
        <v>Кашменский</v>
      </c>
      <c r="C199" t="str">
        <f ca="1">IFERROR(__xludf.DUMMYFUNCTION("""COMPUTED_VALUE"""),"Максим")</f>
        <v>Максим</v>
      </c>
      <c r="D199" t="str">
        <f ca="1">IFERROR(__xludf.DUMMYFUNCTION("""COMPUTED_VALUE"""),"Школа 45")</f>
        <v>Школа 45</v>
      </c>
      <c r="E199" s="5">
        <f ca="1">IFERROR(__xludf.DUMMYFUNCTION("""COMPUTED_VALUE"""),2)</f>
        <v>2</v>
      </c>
      <c r="F199" s="5">
        <f ca="1">IFERROR(__xludf.DUMMYFUNCTION("""COMPUTED_VALUE"""),0)</f>
        <v>0</v>
      </c>
      <c r="G199" s="5">
        <f ca="1">IFERROR(__xludf.DUMMYFUNCTION("""COMPUTED_VALUE"""),3)</f>
        <v>3</v>
      </c>
      <c r="H199" s="5">
        <f ca="1">IFERROR(__xludf.DUMMYFUNCTION("""COMPUTED_VALUE"""),1)</f>
        <v>1</v>
      </c>
      <c r="I199" s="5"/>
      <c r="J199" s="5"/>
      <c r="K199" s="5">
        <f ca="1">IFERROR(__xludf.DUMMYFUNCTION("""COMPUTED_VALUE"""),0)</f>
        <v>0</v>
      </c>
      <c r="L199" s="5">
        <f ca="1">IFERROR(__xludf.DUMMYFUNCTION("""COMPUTED_VALUE"""),1)</f>
        <v>1</v>
      </c>
      <c r="M199">
        <f ca="1">IFERROR(__xludf.DUMMYFUNCTION("""COMPUTED_VALUE"""),7)</f>
        <v>7</v>
      </c>
      <c r="N199" s="8"/>
    </row>
    <row r="200" spans="1:14" ht="12.45" hidden="1">
      <c r="A200" t="str">
        <f ca="1">IFERROR(__xludf.DUMMYFUNCTION("""COMPUTED_VALUE"""),"III-1-125")</f>
        <v>III-1-125</v>
      </c>
      <c r="B200" t="str">
        <f ca="1">IFERROR(__xludf.DUMMYFUNCTION("""COMPUTED_VALUE"""),"Гвозденко")</f>
        <v>Гвозденко</v>
      </c>
      <c r="C200" t="str">
        <f ca="1">IFERROR(__xludf.DUMMYFUNCTION("""COMPUTED_VALUE"""),"Леонид")</f>
        <v>Леонид</v>
      </c>
      <c r="D200" t="str">
        <f ca="1">IFERROR(__xludf.DUMMYFUNCTION("""COMPUTED_VALUE"""),"Гимназия 56")</f>
        <v>Гимназия 56</v>
      </c>
      <c r="E200" s="5">
        <f ca="1">IFERROR(__xludf.DUMMYFUNCTION("""COMPUTED_VALUE"""),2)</f>
        <v>2</v>
      </c>
      <c r="F200" s="5">
        <f ca="1">IFERROR(__xludf.DUMMYFUNCTION("""COMPUTED_VALUE"""),0)</f>
        <v>0</v>
      </c>
      <c r="G200" s="5">
        <f ca="1">IFERROR(__xludf.DUMMYFUNCTION("""COMPUTED_VALUE"""),3)</f>
        <v>3</v>
      </c>
      <c r="H200" s="5">
        <f ca="1">IFERROR(__xludf.DUMMYFUNCTION("""COMPUTED_VALUE"""),1)</f>
        <v>1</v>
      </c>
      <c r="I200" s="5">
        <f ca="1">IFERROR(__xludf.DUMMYFUNCTION("""COMPUTED_VALUE"""),0)</f>
        <v>0</v>
      </c>
      <c r="J200" s="5">
        <f ca="1">IFERROR(__xludf.DUMMYFUNCTION("""COMPUTED_VALUE"""),0)</f>
        <v>0</v>
      </c>
      <c r="K200" s="5">
        <f ca="1">IFERROR(__xludf.DUMMYFUNCTION("""COMPUTED_VALUE"""),0)</f>
        <v>0</v>
      </c>
      <c r="L200" s="5">
        <f ca="1">IFERROR(__xludf.DUMMYFUNCTION("""COMPUTED_VALUE"""),1)</f>
        <v>1</v>
      </c>
      <c r="M200">
        <f ca="1">IFERROR(__xludf.DUMMYFUNCTION("""COMPUTED_VALUE"""),7)</f>
        <v>7</v>
      </c>
      <c r="N200" s="8"/>
    </row>
    <row r="201" spans="1:14" ht="12.45" hidden="1">
      <c r="A201" t="str">
        <f ca="1">IFERROR(__xludf.DUMMYFUNCTION("""COMPUTED_VALUE"""),"III-1-060")</f>
        <v>III-1-060</v>
      </c>
      <c r="B201" t="str">
        <f ca="1">IFERROR(__xludf.DUMMYFUNCTION("""COMPUTED_VALUE"""),"Бирюков")</f>
        <v>Бирюков</v>
      </c>
      <c r="C201" t="str">
        <f ca="1">IFERROR(__xludf.DUMMYFUNCTION("""COMPUTED_VALUE"""),"Роман")</f>
        <v>Роман</v>
      </c>
      <c r="D201" t="str">
        <f ca="1">IFERROR(__xludf.DUMMYFUNCTION("""COMPUTED_VALUE"""),"Гимназия 524")</f>
        <v>Гимназия 524</v>
      </c>
      <c r="E201" s="5">
        <f ca="1">IFERROR(__xludf.DUMMYFUNCTION("""COMPUTED_VALUE"""),2)</f>
        <v>2</v>
      </c>
      <c r="F201" s="5">
        <f ca="1">IFERROR(__xludf.DUMMYFUNCTION("""COMPUTED_VALUE"""),0)</f>
        <v>0</v>
      </c>
      <c r="G201" s="5">
        <f ca="1">IFERROR(__xludf.DUMMYFUNCTION("""COMPUTED_VALUE"""),3)</f>
        <v>3</v>
      </c>
      <c r="H201" s="5">
        <f ca="1">IFERROR(__xludf.DUMMYFUNCTION("""COMPUTED_VALUE"""),1)</f>
        <v>1</v>
      </c>
      <c r="I201" s="5">
        <f ca="1">IFERROR(__xludf.DUMMYFUNCTION("""COMPUTED_VALUE"""),0)</f>
        <v>0</v>
      </c>
      <c r="J201" s="5">
        <f ca="1">IFERROR(__xludf.DUMMYFUNCTION("""COMPUTED_VALUE"""),0)</f>
        <v>0</v>
      </c>
      <c r="K201" s="5">
        <f ca="1">IFERROR(__xludf.DUMMYFUNCTION("""COMPUTED_VALUE"""),0)</f>
        <v>0</v>
      </c>
      <c r="L201" s="5">
        <f ca="1">IFERROR(__xludf.DUMMYFUNCTION("""COMPUTED_VALUE"""),1)</f>
        <v>1</v>
      </c>
      <c r="M201">
        <f ca="1">IFERROR(__xludf.DUMMYFUNCTION("""COMPUTED_VALUE"""),7)</f>
        <v>7</v>
      </c>
      <c r="N201" s="8"/>
    </row>
    <row r="202" spans="1:14" ht="12.45" hidden="1">
      <c r="A202" t="str">
        <f ca="1">IFERROR(__xludf.DUMMYFUNCTION("""COMPUTED_VALUE"""),"V-1-403")</f>
        <v>V-1-403</v>
      </c>
      <c r="B202" t="str">
        <f ca="1">IFERROR(__xludf.DUMMYFUNCTION("""COMPUTED_VALUE"""),"Плотников")</f>
        <v>Плотников</v>
      </c>
      <c r="C202" t="str">
        <f ca="1">IFERROR(__xludf.DUMMYFUNCTION("""COMPUTED_VALUE"""),"Сергей")</f>
        <v>Сергей</v>
      </c>
      <c r="D202" t="str">
        <f ca="1">IFERROR(__xludf.DUMMYFUNCTION("""COMPUTED_VALUE"""),"Школа 71")</f>
        <v>Школа 71</v>
      </c>
      <c r="E202" s="5">
        <f ca="1">IFERROR(__xludf.DUMMYFUNCTION("""COMPUTED_VALUE"""),2)</f>
        <v>2</v>
      </c>
      <c r="F202" s="5"/>
      <c r="G202" s="5">
        <f ca="1">IFERROR(__xludf.DUMMYFUNCTION("""COMPUTED_VALUE"""),3)</f>
        <v>3</v>
      </c>
      <c r="H202" s="5">
        <f ca="1">IFERROR(__xludf.DUMMYFUNCTION("""COMPUTED_VALUE"""),1)</f>
        <v>1</v>
      </c>
      <c r="I202" s="5">
        <f ca="1">IFERROR(__xludf.DUMMYFUNCTION("""COMPUTED_VALUE"""),0)</f>
        <v>0</v>
      </c>
      <c r="J202" s="5">
        <f ca="1">IFERROR(__xludf.DUMMYFUNCTION("""COMPUTED_VALUE"""),0)</f>
        <v>0</v>
      </c>
      <c r="K202" s="5"/>
      <c r="L202" s="5">
        <f ca="1">IFERROR(__xludf.DUMMYFUNCTION("""COMPUTED_VALUE"""),1)</f>
        <v>1</v>
      </c>
      <c r="M202">
        <f ca="1">IFERROR(__xludf.DUMMYFUNCTION("""COMPUTED_VALUE"""),7)</f>
        <v>7</v>
      </c>
      <c r="N202" s="8"/>
    </row>
    <row r="203" spans="1:14" ht="12.45" hidden="1">
      <c r="A203" t="str">
        <f ca="1">IFERROR(__xludf.DUMMYFUNCTION("""COMPUTED_VALUE"""),"III-1-025")</f>
        <v>III-1-025</v>
      </c>
      <c r="B203" t="str">
        <f ca="1">IFERROR(__xludf.DUMMYFUNCTION("""COMPUTED_VALUE"""),"Антонюк")</f>
        <v>Антонюк</v>
      </c>
      <c r="C203" t="str">
        <f ca="1">IFERROR(__xludf.DUMMYFUNCTION("""COMPUTED_VALUE"""),"Ангелина")</f>
        <v>Ангелина</v>
      </c>
      <c r="D203" t="str">
        <f ca="1">IFERROR(__xludf.DUMMYFUNCTION("""COMPUTED_VALUE"""),"Школа 113")</f>
        <v>Школа 113</v>
      </c>
      <c r="E203" s="5">
        <f ca="1">IFERROR(__xludf.DUMMYFUNCTION("""COMPUTED_VALUE"""),0)</f>
        <v>0</v>
      </c>
      <c r="F203" s="5">
        <f ca="1">IFERROR(__xludf.DUMMYFUNCTION("""COMPUTED_VALUE"""),3)</f>
        <v>3</v>
      </c>
      <c r="G203" s="5">
        <f ca="1">IFERROR(__xludf.DUMMYFUNCTION("""COMPUTED_VALUE"""),3)</f>
        <v>3</v>
      </c>
      <c r="H203" s="5">
        <f ca="1">IFERROR(__xludf.DUMMYFUNCTION("""COMPUTED_VALUE"""),1)</f>
        <v>1</v>
      </c>
      <c r="I203" s="5">
        <f ca="1">IFERROR(__xludf.DUMMYFUNCTION("""COMPUTED_VALUE"""),0)</f>
        <v>0</v>
      </c>
      <c r="J203" s="5">
        <f ca="1">IFERROR(__xludf.DUMMYFUNCTION("""COMPUTED_VALUE"""),0)</f>
        <v>0</v>
      </c>
      <c r="K203" s="5">
        <f ca="1">IFERROR(__xludf.DUMMYFUNCTION("""COMPUTED_VALUE"""),0)</f>
        <v>0</v>
      </c>
      <c r="L203" s="5">
        <f ca="1">IFERROR(__xludf.DUMMYFUNCTION("""COMPUTED_VALUE"""),0)</f>
        <v>0</v>
      </c>
      <c r="M203">
        <f ca="1">IFERROR(__xludf.DUMMYFUNCTION("""COMPUTED_VALUE"""),7)</f>
        <v>7</v>
      </c>
      <c r="N203" s="8"/>
    </row>
    <row r="204" spans="1:14" ht="12.45" hidden="1">
      <c r="A204" t="str">
        <f ca="1">IFERROR(__xludf.DUMMYFUNCTION("""COMPUTED_VALUE"""),"V-1-534")</f>
        <v>V-1-534</v>
      </c>
      <c r="B204" t="str">
        <f ca="1">IFERROR(__xludf.DUMMYFUNCTION("""COMPUTED_VALUE"""),"Устинова")</f>
        <v>Устинова</v>
      </c>
      <c r="C204" t="str">
        <f ca="1">IFERROR(__xludf.DUMMYFUNCTION("""COMPUTED_VALUE"""),"Марина")</f>
        <v>Марина</v>
      </c>
      <c r="D204" t="str">
        <f ca="1">IFERROR(__xludf.DUMMYFUNCTION("""COMPUTED_VALUE"""),"Школа 373")</f>
        <v>Школа 373</v>
      </c>
      <c r="E204" s="5">
        <f ca="1">IFERROR(__xludf.DUMMYFUNCTION("""COMPUTED_VALUE"""),0)</f>
        <v>0</v>
      </c>
      <c r="F204" s="5">
        <f ca="1">IFERROR(__xludf.DUMMYFUNCTION("""COMPUTED_VALUE"""),3)</f>
        <v>3</v>
      </c>
      <c r="G204" s="5">
        <f ca="1">IFERROR(__xludf.DUMMYFUNCTION("""COMPUTED_VALUE"""),3)</f>
        <v>3</v>
      </c>
      <c r="H204" s="5"/>
      <c r="I204" s="5"/>
      <c r="J204" s="5"/>
      <c r="K204" s="5"/>
      <c r="L204" s="5">
        <f ca="1">IFERROR(__xludf.DUMMYFUNCTION("""COMPUTED_VALUE"""),1)</f>
        <v>1</v>
      </c>
      <c r="M204">
        <f ca="1">IFERROR(__xludf.DUMMYFUNCTION("""COMPUTED_VALUE"""),7)</f>
        <v>7</v>
      </c>
      <c r="N204" s="8"/>
    </row>
    <row r="205" spans="1:14" ht="12.45" hidden="1">
      <c r="A205" t="str">
        <f ca="1">IFERROR(__xludf.DUMMYFUNCTION("""COMPUTED_VALUE"""),"V-1-491")</f>
        <v>V-1-491</v>
      </c>
      <c r="B205" t="str">
        <f ca="1">IFERROR(__xludf.DUMMYFUNCTION("""COMPUTED_VALUE"""),"Старикова")</f>
        <v>Старикова</v>
      </c>
      <c r="C205" t="str">
        <f ca="1">IFERROR(__xludf.DUMMYFUNCTION("""COMPUTED_VALUE"""),"Кристина")</f>
        <v>Кристина</v>
      </c>
      <c r="D205" t="str">
        <f ca="1">IFERROR(__xludf.DUMMYFUNCTION("""COMPUTED_VALUE"""),"Гимназия 295")</f>
        <v>Гимназия 295</v>
      </c>
      <c r="E205" s="5">
        <f ca="1">IFERROR(__xludf.DUMMYFUNCTION("""COMPUTED_VALUE"""),0)</f>
        <v>0</v>
      </c>
      <c r="F205" s="5">
        <f ca="1">IFERROR(__xludf.DUMMYFUNCTION("""COMPUTED_VALUE"""),3)</f>
        <v>3</v>
      </c>
      <c r="G205" s="5">
        <f ca="1">IFERROR(__xludf.DUMMYFUNCTION("""COMPUTED_VALUE"""),3)</f>
        <v>3</v>
      </c>
      <c r="H205" s="5">
        <f ca="1">IFERROR(__xludf.DUMMYFUNCTION("""COMPUTED_VALUE"""),0)</f>
        <v>0</v>
      </c>
      <c r="I205" s="5">
        <f ca="1">IFERROR(__xludf.DUMMYFUNCTION("""COMPUTED_VALUE"""),0)</f>
        <v>0</v>
      </c>
      <c r="J205" s="5">
        <f ca="1">IFERROR(__xludf.DUMMYFUNCTION("""COMPUTED_VALUE"""),0)</f>
        <v>0</v>
      </c>
      <c r="K205" s="5">
        <f ca="1">IFERROR(__xludf.DUMMYFUNCTION("""COMPUTED_VALUE"""),0)</f>
        <v>0</v>
      </c>
      <c r="L205" s="5">
        <f ca="1">IFERROR(__xludf.DUMMYFUNCTION("""COMPUTED_VALUE"""),1)</f>
        <v>1</v>
      </c>
      <c r="M205">
        <f ca="1">IFERROR(__xludf.DUMMYFUNCTION("""COMPUTED_VALUE"""),7)</f>
        <v>7</v>
      </c>
      <c r="N205" s="8"/>
    </row>
    <row r="206" spans="1:14" ht="12.45" hidden="1">
      <c r="A206" t="str">
        <f ca="1">IFERROR(__xludf.DUMMYFUNCTION("""COMPUTED_VALUE"""),"V-1-395")</f>
        <v>V-1-395</v>
      </c>
      <c r="B206" t="str">
        <f ca="1">IFERROR(__xludf.DUMMYFUNCTION("""COMPUTED_VALUE"""),"Петрова")</f>
        <v>Петрова</v>
      </c>
      <c r="C206" t="str">
        <f ca="1">IFERROR(__xludf.DUMMYFUNCTION("""COMPUTED_VALUE"""),"Екатерина")</f>
        <v>Екатерина</v>
      </c>
      <c r="D206" t="str">
        <f ca="1">IFERROR(__xludf.DUMMYFUNCTION("""COMPUTED_VALUE"""),"Школа 485")</f>
        <v>Школа 485</v>
      </c>
      <c r="E206" s="5">
        <f ca="1">IFERROR(__xludf.DUMMYFUNCTION("""COMPUTED_VALUE"""),2)</f>
        <v>2</v>
      </c>
      <c r="F206" s="5"/>
      <c r="G206" s="5">
        <f ca="1">IFERROR(__xludf.DUMMYFUNCTION("""COMPUTED_VALUE"""),0)</f>
        <v>0</v>
      </c>
      <c r="H206" s="5">
        <f ca="1">IFERROR(__xludf.DUMMYFUNCTION("""COMPUTED_VALUE"""),0)</f>
        <v>0</v>
      </c>
      <c r="I206" s="5"/>
      <c r="J206" s="5">
        <f ca="1">IFERROR(__xludf.DUMMYFUNCTION("""COMPUTED_VALUE"""),4)</f>
        <v>4</v>
      </c>
      <c r="K206" s="5"/>
      <c r="L206" s="5">
        <f ca="1">IFERROR(__xludf.DUMMYFUNCTION("""COMPUTED_VALUE"""),1)</f>
        <v>1</v>
      </c>
      <c r="M206">
        <f ca="1">IFERROR(__xludf.DUMMYFUNCTION("""COMPUTED_VALUE"""),7)</f>
        <v>7</v>
      </c>
      <c r="N206" s="8"/>
    </row>
    <row r="207" spans="1:14" ht="12.45" hidden="1">
      <c r="A207" t="str">
        <f ca="1">IFERROR(__xludf.DUMMYFUNCTION("""COMPUTED_VALUE"""),"V-1-471")</f>
        <v>V-1-471</v>
      </c>
      <c r="B207" t="str">
        <f ca="1">IFERROR(__xludf.DUMMYFUNCTION("""COMPUTED_VALUE"""),"Сизиков")</f>
        <v>Сизиков</v>
      </c>
      <c r="C207" t="str">
        <f ca="1">IFERROR(__xludf.DUMMYFUNCTION("""COMPUTED_VALUE"""),"Владимир")</f>
        <v>Владимир</v>
      </c>
      <c r="D207" t="str">
        <f ca="1">IFERROR(__xludf.DUMMYFUNCTION("""COMPUTED_VALUE"""),"Школа 292")</f>
        <v>Школа 292</v>
      </c>
      <c r="E207" s="5">
        <f ca="1">IFERROR(__xludf.DUMMYFUNCTION("""COMPUTED_VALUE"""),0)</f>
        <v>0</v>
      </c>
      <c r="F207" s="5">
        <f ca="1">IFERROR(__xludf.DUMMYFUNCTION("""COMPUTED_VALUE"""),3)</f>
        <v>3</v>
      </c>
      <c r="G207" s="5">
        <f ca="1">IFERROR(__xludf.DUMMYFUNCTION("""COMPUTED_VALUE"""),3)</f>
        <v>3</v>
      </c>
      <c r="H207" s="5"/>
      <c r="I207" s="5"/>
      <c r="J207" s="5"/>
      <c r="K207" s="5"/>
      <c r="L207" s="5">
        <f ca="1">IFERROR(__xludf.DUMMYFUNCTION("""COMPUTED_VALUE"""),1)</f>
        <v>1</v>
      </c>
      <c r="M207">
        <f ca="1">IFERROR(__xludf.DUMMYFUNCTION("""COMPUTED_VALUE"""),7)</f>
        <v>7</v>
      </c>
      <c r="N207" s="8"/>
    </row>
    <row r="208" spans="1:14" ht="12.45" hidden="1">
      <c r="A208" t="str">
        <f ca="1">IFERROR(__xludf.DUMMYFUNCTION("""COMPUTED_VALUE"""),"III-1-230")</f>
        <v>III-1-230</v>
      </c>
      <c r="B208" t="str">
        <f ca="1">IFERROR(__xludf.DUMMYFUNCTION("""COMPUTED_VALUE"""),"Киселева")</f>
        <v>Киселева</v>
      </c>
      <c r="C208" t="str">
        <f ca="1">IFERROR(__xludf.DUMMYFUNCTION("""COMPUTED_VALUE"""),"Анастасия")</f>
        <v>Анастасия</v>
      </c>
      <c r="D208" t="str">
        <f ca="1">IFERROR(__xludf.DUMMYFUNCTION("""COMPUTED_VALUE"""),"Школа 598")</f>
        <v>Школа 598</v>
      </c>
      <c r="E208" s="5">
        <f ca="1">IFERROR(__xludf.DUMMYFUNCTION("""COMPUTED_VALUE"""),1)</f>
        <v>1</v>
      </c>
      <c r="F208" s="5">
        <f ca="1">IFERROR(__xludf.DUMMYFUNCTION("""COMPUTED_VALUE"""),0)</f>
        <v>0</v>
      </c>
      <c r="G208" s="5">
        <f ca="1">IFERROR(__xludf.DUMMYFUNCTION("""COMPUTED_VALUE"""),0)</f>
        <v>0</v>
      </c>
      <c r="H208" s="5">
        <f ca="1">IFERROR(__xludf.DUMMYFUNCTION("""COMPUTED_VALUE"""),5)</f>
        <v>5</v>
      </c>
      <c r="I208" s="5"/>
      <c r="J208" s="5"/>
      <c r="K208" s="5">
        <f ca="1">IFERROR(__xludf.DUMMYFUNCTION("""COMPUTED_VALUE"""),0)</f>
        <v>0</v>
      </c>
      <c r="L208" s="5">
        <f ca="1">IFERROR(__xludf.DUMMYFUNCTION("""COMPUTED_VALUE"""),1)</f>
        <v>1</v>
      </c>
      <c r="M208">
        <f ca="1">IFERROR(__xludf.DUMMYFUNCTION("""COMPUTED_VALUE"""),7)</f>
        <v>7</v>
      </c>
      <c r="N208" s="8"/>
    </row>
    <row r="209" spans="1:14" ht="12.45" hidden="1">
      <c r="A209" t="str">
        <f ca="1">IFERROR(__xludf.DUMMYFUNCTION("""COMPUTED_VALUE"""),"V-1-436")</f>
        <v>V-1-436</v>
      </c>
      <c r="B209" t="str">
        <f ca="1">IFERROR(__xludf.DUMMYFUNCTION("""COMPUTED_VALUE"""),"Ратанова")</f>
        <v>Ратанова</v>
      </c>
      <c r="C209" t="str">
        <f ca="1">IFERROR(__xludf.DUMMYFUNCTION("""COMPUTED_VALUE"""),"Полина")</f>
        <v>Полина</v>
      </c>
      <c r="D209" t="str">
        <f ca="1">IFERROR(__xludf.DUMMYFUNCTION("""COMPUTED_VALUE"""),"Школа 598")</f>
        <v>Школа 598</v>
      </c>
      <c r="E209" s="5">
        <f ca="1">IFERROR(__xludf.DUMMYFUNCTION("""COMPUTED_VALUE"""),1)</f>
        <v>1</v>
      </c>
      <c r="F209" s="5"/>
      <c r="G209" s="5">
        <f ca="1">IFERROR(__xludf.DUMMYFUNCTION("""COMPUTED_VALUE"""),0)</f>
        <v>0</v>
      </c>
      <c r="H209" s="5">
        <f ca="1">IFERROR(__xludf.DUMMYFUNCTION("""COMPUTED_VALUE"""),1)</f>
        <v>1</v>
      </c>
      <c r="I209" s="5">
        <f ca="1">IFERROR(__xludf.DUMMYFUNCTION("""COMPUTED_VALUE"""),0)</f>
        <v>0</v>
      </c>
      <c r="J209" s="5">
        <f ca="1">IFERROR(__xludf.DUMMYFUNCTION("""COMPUTED_VALUE"""),4)</f>
        <v>4</v>
      </c>
      <c r="K209" s="5">
        <f ca="1">IFERROR(__xludf.DUMMYFUNCTION("""COMPUTED_VALUE"""),0)</f>
        <v>0</v>
      </c>
      <c r="L209" s="5">
        <f ca="1">IFERROR(__xludf.DUMMYFUNCTION("""COMPUTED_VALUE"""),1)</f>
        <v>1</v>
      </c>
      <c r="M209">
        <f ca="1">IFERROR(__xludf.DUMMYFUNCTION("""COMPUTED_VALUE"""),7)</f>
        <v>7</v>
      </c>
      <c r="N209" s="8"/>
    </row>
    <row r="210" spans="1:14" ht="12.45" hidden="1">
      <c r="A210" t="str">
        <f ca="1">IFERROR(__xludf.DUMMYFUNCTION("""COMPUTED_VALUE"""),"III-1-041")</f>
        <v>III-1-041</v>
      </c>
      <c r="B210" t="str">
        <f ca="1">IFERROR(__xludf.DUMMYFUNCTION("""COMPUTED_VALUE"""),"Бакуев")</f>
        <v>Бакуев</v>
      </c>
      <c r="C210" t="str">
        <f ca="1">IFERROR(__xludf.DUMMYFUNCTION("""COMPUTED_VALUE"""),"Федор")</f>
        <v>Федор</v>
      </c>
      <c r="D210" t="str">
        <f ca="1">IFERROR(__xludf.DUMMYFUNCTION("""COMPUTED_VALUE"""),"Школа 106")</f>
        <v>Школа 106</v>
      </c>
      <c r="E210" s="5">
        <f ca="1">IFERROR(__xludf.DUMMYFUNCTION("""COMPUTED_VALUE"""),0)</f>
        <v>0</v>
      </c>
      <c r="F210" s="5">
        <f ca="1">IFERROR(__xludf.DUMMYFUNCTION("""COMPUTED_VALUE"""),3)</f>
        <v>3</v>
      </c>
      <c r="G210" s="5">
        <f ca="1">IFERROR(__xludf.DUMMYFUNCTION("""COMPUTED_VALUE"""),3)</f>
        <v>3</v>
      </c>
      <c r="H210" s="5">
        <f ca="1">IFERROR(__xludf.DUMMYFUNCTION("""COMPUTED_VALUE"""),0)</f>
        <v>0</v>
      </c>
      <c r="I210" s="5">
        <f ca="1">IFERROR(__xludf.DUMMYFUNCTION("""COMPUTED_VALUE"""),0)</f>
        <v>0</v>
      </c>
      <c r="J210" s="5">
        <f ca="1">IFERROR(__xludf.DUMMYFUNCTION("""COMPUTED_VALUE"""),0)</f>
        <v>0</v>
      </c>
      <c r="K210" s="5">
        <f ca="1">IFERROR(__xludf.DUMMYFUNCTION("""COMPUTED_VALUE"""),0)</f>
        <v>0</v>
      </c>
      <c r="L210" s="5">
        <f ca="1">IFERROR(__xludf.DUMMYFUNCTION("""COMPUTED_VALUE"""),1)</f>
        <v>1</v>
      </c>
      <c r="M210">
        <f ca="1">IFERROR(__xludf.DUMMYFUNCTION("""COMPUTED_VALUE"""),7)</f>
        <v>7</v>
      </c>
      <c r="N210" s="8"/>
    </row>
    <row r="211" spans="1:14" ht="12.45" hidden="1">
      <c r="A211" t="str">
        <f ca="1">IFERROR(__xludf.DUMMYFUNCTION("""COMPUTED_VALUE"""),"V-1-503")</f>
        <v>V-1-503</v>
      </c>
      <c r="B211" t="str">
        <f ca="1">IFERROR(__xludf.DUMMYFUNCTION("""COMPUTED_VALUE"""),"Суриков")</f>
        <v>Суриков</v>
      </c>
      <c r="C211" t="str">
        <f ca="1">IFERROR(__xludf.DUMMYFUNCTION("""COMPUTED_VALUE"""),"Алексей")</f>
        <v>Алексей</v>
      </c>
      <c r="D211" t="str">
        <f ca="1">IFERROR(__xludf.DUMMYFUNCTION("""COMPUTED_VALUE"""),"Гимназия 73")</f>
        <v>Гимназия 73</v>
      </c>
      <c r="E211" s="5">
        <f ca="1">IFERROR(__xludf.DUMMYFUNCTION("""COMPUTED_VALUE"""),2)</f>
        <v>2</v>
      </c>
      <c r="F211" s="5">
        <f ca="1">IFERROR(__xludf.DUMMYFUNCTION("""COMPUTED_VALUE"""),1)</f>
        <v>1</v>
      </c>
      <c r="G211" s="5">
        <f ca="1">IFERROR(__xludf.DUMMYFUNCTION("""COMPUTED_VALUE"""),3)</f>
        <v>3</v>
      </c>
      <c r="H211" s="5">
        <f ca="1">IFERROR(__xludf.DUMMYFUNCTION("""COMPUTED_VALUE"""),0)</f>
        <v>0</v>
      </c>
      <c r="I211" s="5"/>
      <c r="J211" s="5">
        <f ca="1">IFERROR(__xludf.DUMMYFUNCTION("""COMPUTED_VALUE"""),0)</f>
        <v>0</v>
      </c>
      <c r="K211" s="5">
        <f ca="1">IFERROR(__xludf.DUMMYFUNCTION("""COMPUTED_VALUE"""),0)</f>
        <v>0</v>
      </c>
      <c r="L211" s="5">
        <f ca="1">IFERROR(__xludf.DUMMYFUNCTION("""COMPUTED_VALUE"""),1)</f>
        <v>1</v>
      </c>
      <c r="M211">
        <f ca="1">IFERROR(__xludf.DUMMYFUNCTION("""COMPUTED_VALUE"""),7)</f>
        <v>7</v>
      </c>
      <c r="N211" s="8"/>
    </row>
    <row r="212" spans="1:14" ht="12.45" hidden="1">
      <c r="A212" t="str">
        <f ca="1">IFERROR(__xludf.DUMMYFUNCTION("""COMPUTED_VALUE"""),"V-1-556")</f>
        <v>V-1-556</v>
      </c>
      <c r="B212" t="str">
        <f ca="1">IFERROR(__xludf.DUMMYFUNCTION("""COMPUTED_VALUE"""),"Фролова")</f>
        <v>Фролова</v>
      </c>
      <c r="C212" t="str">
        <f ca="1">IFERROR(__xludf.DUMMYFUNCTION("""COMPUTED_VALUE"""),"Алёна")</f>
        <v>Алёна</v>
      </c>
      <c r="D212" t="str">
        <f ca="1">IFERROR(__xludf.DUMMYFUNCTION("""COMPUTED_VALUE"""),"Школа 100")</f>
        <v>Школа 100</v>
      </c>
      <c r="E212" s="5">
        <f ca="1">IFERROR(__xludf.DUMMYFUNCTION("""COMPUTED_VALUE"""),2)</f>
        <v>2</v>
      </c>
      <c r="F212" s="5">
        <f ca="1">IFERROR(__xludf.DUMMYFUNCTION("""COMPUTED_VALUE"""),0)</f>
        <v>0</v>
      </c>
      <c r="G212" s="5">
        <f ca="1">IFERROR(__xludf.DUMMYFUNCTION("""COMPUTED_VALUE"""),0)</f>
        <v>0</v>
      </c>
      <c r="H212" s="5">
        <f ca="1">IFERROR(__xludf.DUMMYFUNCTION("""COMPUTED_VALUE"""),0)</f>
        <v>0</v>
      </c>
      <c r="I212" s="5">
        <f ca="1">IFERROR(__xludf.DUMMYFUNCTION("""COMPUTED_VALUE"""),0)</f>
        <v>0</v>
      </c>
      <c r="J212" s="5">
        <f ca="1">IFERROR(__xludf.DUMMYFUNCTION("""COMPUTED_VALUE"""),0)</f>
        <v>0</v>
      </c>
      <c r="K212" s="5">
        <f ca="1">IFERROR(__xludf.DUMMYFUNCTION("""COMPUTED_VALUE"""),4)</f>
        <v>4</v>
      </c>
      <c r="L212" s="5">
        <f ca="1">IFERROR(__xludf.DUMMYFUNCTION("""COMPUTED_VALUE"""),1)</f>
        <v>1</v>
      </c>
      <c r="M212">
        <f ca="1">IFERROR(__xludf.DUMMYFUNCTION("""COMPUTED_VALUE"""),7)</f>
        <v>7</v>
      </c>
      <c r="N212" s="8"/>
    </row>
    <row r="213" spans="1:14" ht="12.45" hidden="1">
      <c r="A213" t="str">
        <f ca="1">IFERROR(__xludf.DUMMYFUNCTION("""COMPUTED_VALUE"""),"III-1-062")</f>
        <v>III-1-062</v>
      </c>
      <c r="B213" t="str">
        <f ca="1">IFERROR(__xludf.DUMMYFUNCTION("""COMPUTED_VALUE"""),"Бирюкова")</f>
        <v>Бирюкова</v>
      </c>
      <c r="C213" t="str">
        <f ca="1">IFERROR(__xludf.DUMMYFUNCTION("""COMPUTED_VALUE"""),"Ева")</f>
        <v>Ева</v>
      </c>
      <c r="D213" t="str">
        <f ca="1">IFERROR(__xludf.DUMMYFUNCTION("""COMPUTED_VALUE"""),"Гимназия Гимназия 107")</f>
        <v>Гимназия Гимназия 107</v>
      </c>
      <c r="E213" s="5">
        <f ca="1">IFERROR(__xludf.DUMMYFUNCTION("""COMPUTED_VALUE"""),2)</f>
        <v>2</v>
      </c>
      <c r="F213" s="5">
        <f ca="1">IFERROR(__xludf.DUMMYFUNCTION("""COMPUTED_VALUE"""),0)</f>
        <v>0</v>
      </c>
      <c r="G213" s="5">
        <f ca="1">IFERROR(__xludf.DUMMYFUNCTION("""COMPUTED_VALUE"""),0)</f>
        <v>0</v>
      </c>
      <c r="H213" s="5">
        <f ca="1">IFERROR(__xludf.DUMMYFUNCTION("""COMPUTED_VALUE"""),0)</f>
        <v>0</v>
      </c>
      <c r="I213" s="5">
        <f ca="1">IFERROR(__xludf.DUMMYFUNCTION("""COMPUTED_VALUE"""),0)</f>
        <v>0</v>
      </c>
      <c r="J213" s="5">
        <f ca="1">IFERROR(__xludf.DUMMYFUNCTION("""COMPUTED_VALUE"""),0)</f>
        <v>0</v>
      </c>
      <c r="K213" s="5">
        <f ca="1">IFERROR(__xludf.DUMMYFUNCTION("""COMPUTED_VALUE"""),4)</f>
        <v>4</v>
      </c>
      <c r="L213" s="5">
        <f ca="1">IFERROR(__xludf.DUMMYFUNCTION("""COMPUTED_VALUE"""),1)</f>
        <v>1</v>
      </c>
      <c r="M213">
        <f ca="1">IFERROR(__xludf.DUMMYFUNCTION("""COMPUTED_VALUE"""),7)</f>
        <v>7</v>
      </c>
      <c r="N213" s="8"/>
    </row>
    <row r="214" spans="1:14" ht="12.45" hidden="1">
      <c r="A214" t="str">
        <f ca="1">IFERROR(__xludf.DUMMYFUNCTION("""COMPUTED_VALUE"""),"V-1-341")</f>
        <v>V-1-341</v>
      </c>
      <c r="B214" t="str">
        <f ca="1">IFERROR(__xludf.DUMMYFUNCTION("""COMPUTED_VALUE"""),"Муравлева")</f>
        <v>Муравлева</v>
      </c>
      <c r="C214" t="str">
        <f ca="1">IFERROR(__xludf.DUMMYFUNCTION("""COMPUTED_VALUE"""),"Ирина")</f>
        <v>Ирина</v>
      </c>
      <c r="D214" t="str">
        <f ca="1">IFERROR(__xludf.DUMMYFUNCTION("""COMPUTED_VALUE"""),"Школа 18")</f>
        <v>Школа 18</v>
      </c>
      <c r="E214" s="5">
        <f ca="1">IFERROR(__xludf.DUMMYFUNCTION("""COMPUTED_VALUE"""),2)</f>
        <v>2</v>
      </c>
      <c r="F214" s="5">
        <f ca="1">IFERROR(__xludf.DUMMYFUNCTION("""COMPUTED_VALUE"""),0)</f>
        <v>0</v>
      </c>
      <c r="G214" s="5">
        <f ca="1">IFERROR(__xludf.DUMMYFUNCTION("""COMPUTED_VALUE"""),3)</f>
        <v>3</v>
      </c>
      <c r="H214" s="5">
        <f ca="1">IFERROR(__xludf.DUMMYFUNCTION("""COMPUTED_VALUE"""),1)</f>
        <v>1</v>
      </c>
      <c r="I214" s="5">
        <f ca="1">IFERROR(__xludf.DUMMYFUNCTION("""COMPUTED_VALUE"""),1)</f>
        <v>1</v>
      </c>
      <c r="J214" s="5">
        <f ca="1">IFERROR(__xludf.DUMMYFUNCTION("""COMPUTED_VALUE"""),0)</f>
        <v>0</v>
      </c>
      <c r="K214" s="5">
        <f ca="1">IFERROR(__xludf.DUMMYFUNCTION("""COMPUTED_VALUE"""),0)</f>
        <v>0</v>
      </c>
      <c r="L214" s="5">
        <f ca="1">IFERROR(__xludf.DUMMYFUNCTION("""COMPUTED_VALUE"""),0)</f>
        <v>0</v>
      </c>
      <c r="M214">
        <f ca="1">IFERROR(__xludf.DUMMYFUNCTION("""COMPUTED_VALUE"""),7)</f>
        <v>7</v>
      </c>
      <c r="N214" s="8"/>
    </row>
    <row r="215" spans="1:14" ht="12.45" hidden="1">
      <c r="A215" t="str">
        <f ca="1">IFERROR(__xludf.DUMMYFUNCTION("""COMPUTED_VALUE"""),"V-1-392")</f>
        <v>V-1-392</v>
      </c>
      <c r="B215" t="str">
        <f ca="1">IFERROR(__xludf.DUMMYFUNCTION("""COMPUTED_VALUE"""),"Переходов")</f>
        <v>Переходов</v>
      </c>
      <c r="C215" t="str">
        <f ca="1">IFERROR(__xludf.DUMMYFUNCTION("""COMPUTED_VALUE"""),"Ярослав")</f>
        <v>Ярослав</v>
      </c>
      <c r="D215" t="str">
        <f ca="1">IFERROR(__xludf.DUMMYFUNCTION("""COMPUTED_VALUE"""),"Школа 100")</f>
        <v>Школа 100</v>
      </c>
      <c r="E215" s="5">
        <f ca="1">IFERROR(__xludf.DUMMYFUNCTION("""COMPUTED_VALUE"""),1)</f>
        <v>1</v>
      </c>
      <c r="F215" s="5">
        <f ca="1">IFERROR(__xludf.DUMMYFUNCTION("""COMPUTED_VALUE"""),3)</f>
        <v>3</v>
      </c>
      <c r="G215" s="5">
        <f ca="1">IFERROR(__xludf.DUMMYFUNCTION("""COMPUTED_VALUE"""),3)</f>
        <v>3</v>
      </c>
      <c r="H215" s="5">
        <f ca="1">IFERROR(__xludf.DUMMYFUNCTION("""COMPUTED_VALUE"""),0)</f>
        <v>0</v>
      </c>
      <c r="I215" s="5">
        <f ca="1">IFERROR(__xludf.DUMMYFUNCTION("""COMPUTED_VALUE"""),0)</f>
        <v>0</v>
      </c>
      <c r="J215" s="5">
        <f ca="1">IFERROR(__xludf.DUMMYFUNCTION("""COMPUTED_VALUE"""),0)</f>
        <v>0</v>
      </c>
      <c r="K215" s="5">
        <f ca="1">IFERROR(__xludf.DUMMYFUNCTION("""COMPUTED_VALUE"""),0)</f>
        <v>0</v>
      </c>
      <c r="L215" s="5">
        <f ca="1">IFERROR(__xludf.DUMMYFUNCTION("""COMPUTED_VALUE"""),0)</f>
        <v>0</v>
      </c>
      <c r="M215">
        <f ca="1">IFERROR(__xludf.DUMMYFUNCTION("""COMPUTED_VALUE"""),7)</f>
        <v>7</v>
      </c>
      <c r="N215" s="8"/>
    </row>
    <row r="216" spans="1:14" ht="12.45" hidden="1">
      <c r="A216" t="str">
        <f ca="1">IFERROR(__xludf.DUMMYFUNCTION("""COMPUTED_VALUE"""),"III-1-032")</f>
        <v>III-1-032</v>
      </c>
      <c r="B216" t="str">
        <f ca="1">IFERROR(__xludf.DUMMYFUNCTION("""COMPUTED_VALUE"""),"Атрощенко")</f>
        <v>Атрощенко</v>
      </c>
      <c r="C216" t="str">
        <f ca="1">IFERROR(__xludf.DUMMYFUNCTION("""COMPUTED_VALUE"""),"Евдокия")</f>
        <v>Евдокия</v>
      </c>
      <c r="D216" t="str">
        <f ca="1">IFERROR(__xludf.DUMMYFUNCTION("""COMPUTED_VALUE"""),"Школа 65")</f>
        <v>Школа 65</v>
      </c>
      <c r="E216" s="5"/>
      <c r="F216" s="5">
        <f ca="1">IFERROR(__xludf.DUMMYFUNCTION("""COMPUTED_VALUE"""),3)</f>
        <v>3</v>
      </c>
      <c r="G216" s="5">
        <f ca="1">IFERROR(__xludf.DUMMYFUNCTION("""COMPUTED_VALUE"""),3)</f>
        <v>3</v>
      </c>
      <c r="H216" s="5">
        <f ca="1">IFERROR(__xludf.DUMMYFUNCTION("""COMPUTED_VALUE"""),0)</f>
        <v>0</v>
      </c>
      <c r="I216" s="5"/>
      <c r="J216" s="5"/>
      <c r="K216" s="5"/>
      <c r="L216" s="5">
        <f ca="1">IFERROR(__xludf.DUMMYFUNCTION("""COMPUTED_VALUE"""),1)</f>
        <v>1</v>
      </c>
      <c r="M216">
        <f ca="1">IFERROR(__xludf.DUMMYFUNCTION("""COMPUTED_VALUE"""),7)</f>
        <v>7</v>
      </c>
      <c r="N216" s="8"/>
    </row>
    <row r="217" spans="1:14" ht="12.45" hidden="1">
      <c r="A217" t="str">
        <f ca="1">IFERROR(__xludf.DUMMYFUNCTION("""COMPUTED_VALUE"""),"V-1-335")</f>
        <v>V-1-335</v>
      </c>
      <c r="B217" t="str">
        <f ca="1">IFERROR(__xludf.DUMMYFUNCTION("""COMPUTED_VALUE"""),"Мишкович")</f>
        <v>Мишкович</v>
      </c>
      <c r="C217" t="str">
        <f ca="1">IFERROR(__xludf.DUMMYFUNCTION("""COMPUTED_VALUE"""),"Ян")</f>
        <v>Ян</v>
      </c>
      <c r="D217" t="str">
        <f ca="1">IFERROR(__xludf.DUMMYFUNCTION("""COMPUTED_VALUE"""),"Лицей 299")</f>
        <v>Лицей 299</v>
      </c>
      <c r="E217" s="5">
        <f ca="1">IFERROR(__xludf.DUMMYFUNCTION("""COMPUTED_VALUE"""),2)</f>
        <v>2</v>
      </c>
      <c r="F217" s="5"/>
      <c r="G217" s="5">
        <f ca="1">IFERROR(__xludf.DUMMYFUNCTION("""COMPUTED_VALUE"""),3)</f>
        <v>3</v>
      </c>
      <c r="H217" s="5">
        <f ca="1">IFERROR(__xludf.DUMMYFUNCTION("""COMPUTED_VALUE"""),1)</f>
        <v>1</v>
      </c>
      <c r="I217" s="5">
        <f ca="1">IFERROR(__xludf.DUMMYFUNCTION("""COMPUTED_VALUE"""),0)</f>
        <v>0</v>
      </c>
      <c r="J217" s="5"/>
      <c r="K217" s="5">
        <f ca="1">IFERROR(__xludf.DUMMYFUNCTION("""COMPUTED_VALUE"""),0)</f>
        <v>0</v>
      </c>
      <c r="L217" s="5">
        <f ca="1">IFERROR(__xludf.DUMMYFUNCTION("""COMPUTED_VALUE"""),1)</f>
        <v>1</v>
      </c>
      <c r="M217">
        <f ca="1">IFERROR(__xludf.DUMMYFUNCTION("""COMPUTED_VALUE"""),7)</f>
        <v>7</v>
      </c>
      <c r="N217" s="8"/>
    </row>
    <row r="218" spans="1:14" ht="12.45" hidden="1">
      <c r="A218" t="str">
        <f ca="1">IFERROR(__xludf.DUMMYFUNCTION("""COMPUTED_VALUE"""),"V-1-422")</f>
        <v>V-1-422</v>
      </c>
      <c r="B218" t="str">
        <f ca="1">IFERROR(__xludf.DUMMYFUNCTION("""COMPUTED_VALUE"""),"Прядеха")</f>
        <v>Прядеха</v>
      </c>
      <c r="C218" t="str">
        <f ca="1">IFERROR(__xludf.DUMMYFUNCTION("""COMPUTED_VALUE"""),"Элина")</f>
        <v>Элина</v>
      </c>
      <c r="D218" t="str">
        <f ca="1">IFERROR(__xludf.DUMMYFUNCTION("""COMPUTED_VALUE"""),"Школа 213")</f>
        <v>Школа 213</v>
      </c>
      <c r="E218" s="5">
        <f ca="1">IFERROR(__xludf.DUMMYFUNCTION("""COMPUTED_VALUE"""),2)</f>
        <v>2</v>
      </c>
      <c r="F218" s="5">
        <f ca="1">IFERROR(__xludf.DUMMYFUNCTION("""COMPUTED_VALUE"""),0)</f>
        <v>0</v>
      </c>
      <c r="G218" s="5">
        <f ca="1">IFERROR(__xludf.DUMMYFUNCTION("""COMPUTED_VALUE"""),0)</f>
        <v>0</v>
      </c>
      <c r="H218" s="5">
        <f ca="1">IFERROR(__xludf.DUMMYFUNCTION("""COMPUTED_VALUE"""),0)</f>
        <v>0</v>
      </c>
      <c r="I218" s="5">
        <f ca="1">IFERROR(__xludf.DUMMYFUNCTION("""COMPUTED_VALUE"""),0)</f>
        <v>0</v>
      </c>
      <c r="J218" s="5">
        <f ca="1">IFERROR(__xludf.DUMMYFUNCTION("""COMPUTED_VALUE"""),4)</f>
        <v>4</v>
      </c>
      <c r="K218" s="5">
        <f ca="1">IFERROR(__xludf.DUMMYFUNCTION("""COMPUTED_VALUE"""),0)</f>
        <v>0</v>
      </c>
      <c r="L218" s="5">
        <f ca="1">IFERROR(__xludf.DUMMYFUNCTION("""COMPUTED_VALUE"""),1)</f>
        <v>1</v>
      </c>
      <c r="M218">
        <f ca="1">IFERROR(__xludf.DUMMYFUNCTION("""COMPUTED_VALUE"""),7)</f>
        <v>7</v>
      </c>
      <c r="N218" s="8"/>
    </row>
    <row r="219" spans="1:14" ht="12.45" hidden="1">
      <c r="A219" t="str">
        <f ca="1">IFERROR(__xludf.DUMMYFUNCTION("""COMPUTED_VALUE"""),"V-1-315")</f>
        <v>V-1-315</v>
      </c>
      <c r="B219" t="str">
        <f ca="1">IFERROR(__xludf.DUMMYFUNCTION("""COMPUTED_VALUE"""),"Маснева")</f>
        <v>Маснева</v>
      </c>
      <c r="C219" t="str">
        <f ca="1">IFERROR(__xludf.DUMMYFUNCTION("""COMPUTED_VALUE"""),"Виктория")</f>
        <v>Виктория</v>
      </c>
      <c r="D219" t="str">
        <f ca="1">IFERROR(__xludf.DUMMYFUNCTION("""COMPUTED_VALUE"""),"Школа 18")</f>
        <v>Школа 18</v>
      </c>
      <c r="E219" s="5">
        <f ca="1">IFERROR(__xludf.DUMMYFUNCTION("""COMPUTED_VALUE"""),2)</f>
        <v>2</v>
      </c>
      <c r="F219" s="5"/>
      <c r="G219" s="5">
        <f ca="1">IFERROR(__xludf.DUMMYFUNCTION("""COMPUTED_VALUE"""),3)</f>
        <v>3</v>
      </c>
      <c r="H219" s="5">
        <f ca="1">IFERROR(__xludf.DUMMYFUNCTION("""COMPUTED_VALUE"""),1)</f>
        <v>1</v>
      </c>
      <c r="I219" s="5">
        <f ca="1">IFERROR(__xludf.DUMMYFUNCTION("""COMPUTED_VALUE"""),1)</f>
        <v>1</v>
      </c>
      <c r="J219" s="5">
        <f ca="1">IFERROR(__xludf.DUMMYFUNCTION("""COMPUTED_VALUE"""),0)</f>
        <v>0</v>
      </c>
      <c r="K219" s="5">
        <f ca="1">IFERROR(__xludf.DUMMYFUNCTION("""COMPUTED_VALUE"""),0)</f>
        <v>0</v>
      </c>
      <c r="L219" s="5">
        <f ca="1">IFERROR(__xludf.DUMMYFUNCTION("""COMPUTED_VALUE"""),0)</f>
        <v>0</v>
      </c>
      <c r="M219">
        <f ca="1">IFERROR(__xludf.DUMMYFUNCTION("""COMPUTED_VALUE"""),7)</f>
        <v>7</v>
      </c>
      <c r="N219" s="8"/>
    </row>
    <row r="220" spans="1:14" ht="12.45" hidden="1">
      <c r="A220" t="str">
        <f ca="1">IFERROR(__xludf.DUMMYFUNCTION("""COMPUTED_VALUE"""),"III-1-249")</f>
        <v>III-1-249</v>
      </c>
      <c r="B220" t="str">
        <f ca="1">IFERROR(__xludf.DUMMYFUNCTION("""COMPUTED_VALUE"""),"Кораблев")</f>
        <v>Кораблев</v>
      </c>
      <c r="C220" t="str">
        <f ca="1">IFERROR(__xludf.DUMMYFUNCTION("""COMPUTED_VALUE"""),"Юрий")</f>
        <v>Юрий</v>
      </c>
      <c r="D220" t="str">
        <f ca="1">IFERROR(__xludf.DUMMYFUNCTION("""COMPUTED_VALUE"""),"Гимназия Гимназия Петербургской культуры 32")</f>
        <v>Гимназия Гимназия Петербургской культуры 32</v>
      </c>
      <c r="E220" s="5">
        <f ca="1">IFERROR(__xludf.DUMMYFUNCTION("""COMPUTED_VALUE"""),2)</f>
        <v>2</v>
      </c>
      <c r="F220" s="5">
        <f ca="1">IFERROR(__xludf.DUMMYFUNCTION("""COMPUTED_VALUE"""),0)</f>
        <v>0</v>
      </c>
      <c r="G220" s="5">
        <f ca="1">IFERROR(__xludf.DUMMYFUNCTION("""COMPUTED_VALUE"""),3)</f>
        <v>3</v>
      </c>
      <c r="H220" s="5">
        <f ca="1">IFERROR(__xludf.DUMMYFUNCTION("""COMPUTED_VALUE"""),0)</f>
        <v>0</v>
      </c>
      <c r="I220" s="5">
        <f ca="1">IFERROR(__xludf.DUMMYFUNCTION("""COMPUTED_VALUE"""),0)</f>
        <v>0</v>
      </c>
      <c r="J220" s="5">
        <f ca="1">IFERROR(__xludf.DUMMYFUNCTION("""COMPUTED_VALUE"""),0)</f>
        <v>0</v>
      </c>
      <c r="K220" s="5">
        <f ca="1">IFERROR(__xludf.DUMMYFUNCTION("""COMPUTED_VALUE"""),0)</f>
        <v>0</v>
      </c>
      <c r="L220" s="5">
        <f ca="1">IFERROR(__xludf.DUMMYFUNCTION("""COMPUTED_VALUE"""),1)</f>
        <v>1</v>
      </c>
      <c r="M220">
        <f ca="1">IFERROR(__xludf.DUMMYFUNCTION("""COMPUTED_VALUE"""),6)</f>
        <v>6</v>
      </c>
      <c r="N220" s="8"/>
    </row>
    <row r="221" spans="1:14" ht="12.45" hidden="1">
      <c r="A221" t="str">
        <f ca="1">IFERROR(__xludf.DUMMYFUNCTION("""COMPUTED_VALUE"""),"V-1-563")</f>
        <v>V-1-563</v>
      </c>
      <c r="B221" t="str">
        <f ca="1">IFERROR(__xludf.DUMMYFUNCTION("""COMPUTED_VALUE"""),"Хеймонен")</f>
        <v>Хеймонен</v>
      </c>
      <c r="C221" t="str">
        <f ca="1">IFERROR(__xludf.DUMMYFUNCTION("""COMPUTED_VALUE"""),"Михаил")</f>
        <v>Михаил</v>
      </c>
      <c r="D221" t="str">
        <f ca="1">IFERROR(__xludf.DUMMYFUNCTION("""COMPUTED_VALUE"""),"Гимназия Петершуле")</f>
        <v>Гимназия Петершуле</v>
      </c>
      <c r="E221" s="5">
        <f ca="1">IFERROR(__xludf.DUMMYFUNCTION("""COMPUTED_VALUE"""),2)</f>
        <v>2</v>
      </c>
      <c r="F221" s="5">
        <f ca="1">IFERROR(__xludf.DUMMYFUNCTION("""COMPUTED_VALUE"""),0)</f>
        <v>0</v>
      </c>
      <c r="G221" s="5">
        <f ca="1">IFERROR(__xludf.DUMMYFUNCTION("""COMPUTED_VALUE"""),3)</f>
        <v>3</v>
      </c>
      <c r="H221" s="5"/>
      <c r="I221" s="5"/>
      <c r="J221" s="5">
        <f ca="1">IFERROR(__xludf.DUMMYFUNCTION("""COMPUTED_VALUE"""),0)</f>
        <v>0</v>
      </c>
      <c r="K221" s="5"/>
      <c r="L221" s="5">
        <f ca="1">IFERROR(__xludf.DUMMYFUNCTION("""COMPUTED_VALUE"""),1)</f>
        <v>1</v>
      </c>
      <c r="M221">
        <f ca="1">IFERROR(__xludf.DUMMYFUNCTION("""COMPUTED_VALUE"""),6)</f>
        <v>6</v>
      </c>
      <c r="N221" s="8"/>
    </row>
    <row r="222" spans="1:14" ht="12.45" hidden="1">
      <c r="A222" t="str">
        <f ca="1">IFERROR(__xludf.DUMMYFUNCTION("""COMPUTED_VALUE"""),"V-1-342")</f>
        <v>V-1-342</v>
      </c>
      <c r="B222" t="str">
        <f ca="1">IFERROR(__xludf.DUMMYFUNCTION("""COMPUTED_VALUE"""),"Муринов")</f>
        <v>Муринов</v>
      </c>
      <c r="C222" t="str">
        <f ca="1">IFERROR(__xludf.DUMMYFUNCTION("""COMPUTED_VALUE"""),"Матвей")</f>
        <v>Матвей</v>
      </c>
      <c r="D222" t="str">
        <f ca="1">IFERROR(__xludf.DUMMYFUNCTION("""COMPUTED_VALUE"""),"Лицей 344")</f>
        <v>Лицей 344</v>
      </c>
      <c r="E222" s="5">
        <f ca="1">IFERROR(__xludf.DUMMYFUNCTION("""COMPUTED_VALUE"""),2)</f>
        <v>2</v>
      </c>
      <c r="F222" s="5">
        <f ca="1">IFERROR(__xludf.DUMMYFUNCTION("""COMPUTED_VALUE"""),3)</f>
        <v>3</v>
      </c>
      <c r="G222" s="5"/>
      <c r="H222" s="5">
        <f ca="1">IFERROR(__xludf.DUMMYFUNCTION("""COMPUTED_VALUE"""),1)</f>
        <v>1</v>
      </c>
      <c r="I222" s="5">
        <f ca="1">IFERROR(__xludf.DUMMYFUNCTION("""COMPUTED_VALUE"""),0)</f>
        <v>0</v>
      </c>
      <c r="J222" s="5">
        <f ca="1">IFERROR(__xludf.DUMMYFUNCTION("""COMPUTED_VALUE"""),0)</f>
        <v>0</v>
      </c>
      <c r="K222" s="5"/>
      <c r="L222" s="5">
        <f ca="1">IFERROR(__xludf.DUMMYFUNCTION("""COMPUTED_VALUE"""),0)</f>
        <v>0</v>
      </c>
      <c r="M222">
        <f ca="1">IFERROR(__xludf.DUMMYFUNCTION("""COMPUTED_VALUE"""),6)</f>
        <v>6</v>
      </c>
      <c r="N222" s="8"/>
    </row>
    <row r="223" spans="1:14" ht="12.45" hidden="1">
      <c r="A223" t="str">
        <f ca="1">IFERROR(__xludf.DUMMYFUNCTION("""COMPUTED_VALUE"""),"V-1-386")</f>
        <v>V-1-386</v>
      </c>
      <c r="B223" t="str">
        <f ca="1">IFERROR(__xludf.DUMMYFUNCTION("""COMPUTED_VALUE"""),"Паникаровская")</f>
        <v>Паникаровская</v>
      </c>
      <c r="C223" t="str">
        <f ca="1">IFERROR(__xludf.DUMMYFUNCTION("""COMPUTED_VALUE"""),"Мария")</f>
        <v>Мария</v>
      </c>
      <c r="D223" t="str">
        <f ca="1">IFERROR(__xludf.DUMMYFUNCTION("""COMPUTED_VALUE"""),"Лицей 486")</f>
        <v>Лицей 486</v>
      </c>
      <c r="E223" s="5">
        <f ca="1">IFERROR(__xludf.DUMMYFUNCTION("""COMPUTED_VALUE"""),1)</f>
        <v>1</v>
      </c>
      <c r="F223" s="5">
        <f ca="1">IFERROR(__xludf.DUMMYFUNCTION("""COMPUTED_VALUE"""),0)</f>
        <v>0</v>
      </c>
      <c r="G223" s="5">
        <f ca="1">IFERROR(__xludf.DUMMYFUNCTION("""COMPUTED_VALUE"""),0)</f>
        <v>0</v>
      </c>
      <c r="H223" s="5"/>
      <c r="I223" s="5"/>
      <c r="J223" s="5">
        <f ca="1">IFERROR(__xludf.DUMMYFUNCTION("""COMPUTED_VALUE"""),4)</f>
        <v>4</v>
      </c>
      <c r="K223" s="5">
        <f ca="1">IFERROR(__xludf.DUMMYFUNCTION("""COMPUTED_VALUE"""),0)</f>
        <v>0</v>
      </c>
      <c r="L223" s="5">
        <f ca="1">IFERROR(__xludf.DUMMYFUNCTION("""COMPUTED_VALUE"""),1)</f>
        <v>1</v>
      </c>
      <c r="M223">
        <f ca="1">IFERROR(__xludf.DUMMYFUNCTION("""COMPUTED_VALUE"""),6)</f>
        <v>6</v>
      </c>
      <c r="N223" s="8"/>
    </row>
    <row r="224" spans="1:14" ht="12.45" hidden="1">
      <c r="A224" t="str">
        <f ca="1">IFERROR(__xludf.DUMMYFUNCTION("""COMPUTED_VALUE"""),"III-1-150")</f>
        <v>III-1-150</v>
      </c>
      <c r="B224" t="str">
        <f ca="1">IFERROR(__xludf.DUMMYFUNCTION("""COMPUTED_VALUE"""),"Гусельников")</f>
        <v>Гусельников</v>
      </c>
      <c r="C224" t="str">
        <f ca="1">IFERROR(__xludf.DUMMYFUNCTION("""COMPUTED_VALUE"""),"Владимир")</f>
        <v>Владимир</v>
      </c>
      <c r="D224" t="str">
        <f ca="1">IFERROR(__xludf.DUMMYFUNCTION("""COMPUTED_VALUE"""),"Гимназия 56")</f>
        <v>Гимназия 56</v>
      </c>
      <c r="E224" s="5">
        <f ca="1">IFERROR(__xludf.DUMMYFUNCTION("""COMPUTED_VALUE"""),2)</f>
        <v>2</v>
      </c>
      <c r="F224" s="5">
        <f ca="1">IFERROR(__xludf.DUMMYFUNCTION("""COMPUTED_VALUE"""),0)</f>
        <v>0</v>
      </c>
      <c r="G224" s="5">
        <f ca="1">IFERROR(__xludf.DUMMYFUNCTION("""COMPUTED_VALUE"""),3)</f>
        <v>3</v>
      </c>
      <c r="H224" s="5"/>
      <c r="I224" s="5">
        <f ca="1">IFERROR(__xludf.DUMMYFUNCTION("""COMPUTED_VALUE"""),0)</f>
        <v>0</v>
      </c>
      <c r="J224" s="5">
        <f ca="1">IFERROR(__xludf.DUMMYFUNCTION("""COMPUTED_VALUE"""),0)</f>
        <v>0</v>
      </c>
      <c r="K224" s="5">
        <f ca="1">IFERROR(__xludf.DUMMYFUNCTION("""COMPUTED_VALUE"""),0)</f>
        <v>0</v>
      </c>
      <c r="L224" s="5">
        <f ca="1">IFERROR(__xludf.DUMMYFUNCTION("""COMPUTED_VALUE"""),1)</f>
        <v>1</v>
      </c>
      <c r="M224">
        <f ca="1">IFERROR(__xludf.DUMMYFUNCTION("""COMPUTED_VALUE"""),6)</f>
        <v>6</v>
      </c>
      <c r="N224" s="8"/>
    </row>
    <row r="225" spans="1:14" ht="12.45" hidden="1">
      <c r="A225" t="str">
        <f ca="1">IFERROR(__xludf.DUMMYFUNCTION("""COMPUTED_VALUE"""),"V-1-507")</f>
        <v>V-1-507</v>
      </c>
      <c r="B225" t="str">
        <f ca="1">IFERROR(__xludf.DUMMYFUNCTION("""COMPUTED_VALUE"""),"Сушкова")</f>
        <v>Сушкова</v>
      </c>
      <c r="C225" t="str">
        <f ca="1">IFERROR(__xludf.DUMMYFUNCTION("""COMPUTED_VALUE"""),"Екатерина")</f>
        <v>Екатерина</v>
      </c>
      <c r="D225" t="str">
        <f ca="1">IFERROR(__xludf.DUMMYFUNCTION("""COMPUTED_VALUE"""),"Школа 548")</f>
        <v>Школа 548</v>
      </c>
      <c r="E225" s="5">
        <f ca="1">IFERROR(__xludf.DUMMYFUNCTION("""COMPUTED_VALUE"""),2)</f>
        <v>2</v>
      </c>
      <c r="F225" s="5">
        <f ca="1">IFERROR(__xludf.DUMMYFUNCTION("""COMPUTED_VALUE"""),0)</f>
        <v>0</v>
      </c>
      <c r="G225" s="5">
        <f ca="1">IFERROR(__xludf.DUMMYFUNCTION("""COMPUTED_VALUE"""),3)</f>
        <v>3</v>
      </c>
      <c r="H225" s="5"/>
      <c r="I225" s="5"/>
      <c r="J225" s="5">
        <f ca="1">IFERROR(__xludf.DUMMYFUNCTION("""COMPUTED_VALUE"""),0)</f>
        <v>0</v>
      </c>
      <c r="K225" s="5">
        <f ca="1">IFERROR(__xludf.DUMMYFUNCTION("""COMPUTED_VALUE"""),0)</f>
        <v>0</v>
      </c>
      <c r="L225" s="5">
        <f ca="1">IFERROR(__xludf.DUMMYFUNCTION("""COMPUTED_VALUE"""),1)</f>
        <v>1</v>
      </c>
      <c r="M225">
        <f ca="1">IFERROR(__xludf.DUMMYFUNCTION("""COMPUTED_VALUE"""),6)</f>
        <v>6</v>
      </c>
      <c r="N225" s="8"/>
    </row>
    <row r="226" spans="1:14" ht="12.45" hidden="1">
      <c r="A226" t="str">
        <f ca="1">IFERROR(__xludf.DUMMYFUNCTION("""COMPUTED_VALUE"""),"III-1-018")</f>
        <v>III-1-018</v>
      </c>
      <c r="B226" t="str">
        <f ca="1">IFERROR(__xludf.DUMMYFUNCTION("""COMPUTED_VALUE"""),"Андреева")</f>
        <v>Андреева</v>
      </c>
      <c r="C226" t="str">
        <f ca="1">IFERROR(__xludf.DUMMYFUNCTION("""COMPUTED_VALUE"""),"Юлия")</f>
        <v>Юлия</v>
      </c>
      <c r="D226" t="str">
        <f ca="1">IFERROR(__xludf.DUMMYFUNCTION("""COMPUTED_VALUE"""),"Гимназия 261")</f>
        <v>Гимназия 261</v>
      </c>
      <c r="E226" s="5">
        <f ca="1">IFERROR(__xludf.DUMMYFUNCTION("""COMPUTED_VALUE"""),1)</f>
        <v>1</v>
      </c>
      <c r="F226" s="5">
        <f ca="1">IFERROR(__xludf.DUMMYFUNCTION("""COMPUTED_VALUE"""),0)</f>
        <v>0</v>
      </c>
      <c r="G226" s="5">
        <f ca="1">IFERROR(__xludf.DUMMYFUNCTION("""COMPUTED_VALUE"""),0)</f>
        <v>0</v>
      </c>
      <c r="H226" s="5">
        <f ca="1">IFERROR(__xludf.DUMMYFUNCTION("""COMPUTED_VALUE"""),0)</f>
        <v>0</v>
      </c>
      <c r="I226" s="5">
        <f ca="1">IFERROR(__xludf.DUMMYFUNCTION("""COMPUTED_VALUE"""),0)</f>
        <v>0</v>
      </c>
      <c r="J226" s="5">
        <f ca="1">IFERROR(__xludf.DUMMYFUNCTION("""COMPUTED_VALUE"""),4)</f>
        <v>4</v>
      </c>
      <c r="K226" s="5">
        <f ca="1">IFERROR(__xludf.DUMMYFUNCTION("""COMPUTED_VALUE"""),0)</f>
        <v>0</v>
      </c>
      <c r="L226" s="5">
        <f ca="1">IFERROR(__xludf.DUMMYFUNCTION("""COMPUTED_VALUE"""),1)</f>
        <v>1</v>
      </c>
      <c r="M226">
        <f ca="1">IFERROR(__xludf.DUMMYFUNCTION("""COMPUTED_VALUE"""),6)</f>
        <v>6</v>
      </c>
      <c r="N226" s="8"/>
    </row>
    <row r="227" spans="1:14" ht="12.45" hidden="1">
      <c r="A227" t="str">
        <f ca="1">IFERROR(__xludf.DUMMYFUNCTION("""COMPUTED_VALUE"""),"III-1-044")</f>
        <v>III-1-044</v>
      </c>
      <c r="B227" t="str">
        <f ca="1">IFERROR(__xludf.DUMMYFUNCTION("""COMPUTED_VALUE"""),"Баранов")</f>
        <v>Баранов</v>
      </c>
      <c r="C227" t="str">
        <f ca="1">IFERROR(__xludf.DUMMYFUNCTION("""COMPUTED_VALUE"""),"Глеб")</f>
        <v>Глеб</v>
      </c>
      <c r="D227" t="str">
        <f ca="1">IFERROR(__xludf.DUMMYFUNCTION("""COMPUTED_VALUE"""),"Школа 246")</f>
        <v>Школа 246</v>
      </c>
      <c r="E227" s="5">
        <f ca="1">IFERROR(__xludf.DUMMYFUNCTION("""COMPUTED_VALUE"""),2)</f>
        <v>2</v>
      </c>
      <c r="F227" s="5">
        <f ca="1">IFERROR(__xludf.DUMMYFUNCTION("""COMPUTED_VALUE"""),3)</f>
        <v>3</v>
      </c>
      <c r="G227" s="5">
        <f ca="1">IFERROR(__xludf.DUMMYFUNCTION("""COMPUTED_VALUE"""),0)</f>
        <v>0</v>
      </c>
      <c r="H227" s="5">
        <f ca="1">IFERROR(__xludf.DUMMYFUNCTION("""COMPUTED_VALUE"""),0)</f>
        <v>0</v>
      </c>
      <c r="I227" s="5">
        <f ca="1">IFERROR(__xludf.DUMMYFUNCTION("""COMPUTED_VALUE"""),0)</f>
        <v>0</v>
      </c>
      <c r="J227" s="5">
        <f ca="1">IFERROR(__xludf.DUMMYFUNCTION("""COMPUTED_VALUE"""),0)</f>
        <v>0</v>
      </c>
      <c r="K227" s="5">
        <f ca="1">IFERROR(__xludf.DUMMYFUNCTION("""COMPUTED_VALUE"""),0)</f>
        <v>0</v>
      </c>
      <c r="L227" s="5">
        <f ca="1">IFERROR(__xludf.DUMMYFUNCTION("""COMPUTED_VALUE"""),1)</f>
        <v>1</v>
      </c>
      <c r="M227">
        <f ca="1">IFERROR(__xludf.DUMMYFUNCTION("""COMPUTED_VALUE"""),6)</f>
        <v>6</v>
      </c>
      <c r="N227" s="8"/>
    </row>
    <row r="228" spans="1:14" ht="12.45" hidden="1">
      <c r="A228" t="str">
        <f ca="1">IFERROR(__xludf.DUMMYFUNCTION("""COMPUTED_VALUE"""),"V-1-541")</f>
        <v>V-1-541</v>
      </c>
      <c r="B228" t="str">
        <f ca="1">IFERROR(__xludf.DUMMYFUNCTION("""COMPUTED_VALUE"""),"Федоров")</f>
        <v>Федоров</v>
      </c>
      <c r="C228" t="str">
        <f ca="1">IFERROR(__xludf.DUMMYFUNCTION("""COMPUTED_VALUE"""),"Лев")</f>
        <v>Лев</v>
      </c>
      <c r="D228" t="str">
        <f ca="1">IFERROR(__xludf.DUMMYFUNCTION("""COMPUTED_VALUE"""),"Лицей 344")</f>
        <v>Лицей 344</v>
      </c>
      <c r="E228" s="5">
        <f ca="1">IFERROR(__xludf.DUMMYFUNCTION("""COMPUTED_VALUE"""),1)</f>
        <v>1</v>
      </c>
      <c r="F228" s="5">
        <f ca="1">IFERROR(__xludf.DUMMYFUNCTION("""COMPUTED_VALUE"""),0)</f>
        <v>0</v>
      </c>
      <c r="G228" s="5">
        <f ca="1">IFERROR(__xludf.DUMMYFUNCTION("""COMPUTED_VALUE"""),3)</f>
        <v>3</v>
      </c>
      <c r="H228" s="5">
        <f ca="1">IFERROR(__xludf.DUMMYFUNCTION("""COMPUTED_VALUE"""),1)</f>
        <v>1</v>
      </c>
      <c r="I228" s="5">
        <f ca="1">IFERROR(__xludf.DUMMYFUNCTION("""COMPUTED_VALUE"""),0)</f>
        <v>0</v>
      </c>
      <c r="J228" s="5">
        <f ca="1">IFERROR(__xludf.DUMMYFUNCTION("""COMPUTED_VALUE"""),0)</f>
        <v>0</v>
      </c>
      <c r="K228" s="5">
        <f ca="1">IFERROR(__xludf.DUMMYFUNCTION("""COMPUTED_VALUE"""),0)</f>
        <v>0</v>
      </c>
      <c r="L228" s="5">
        <f ca="1">IFERROR(__xludf.DUMMYFUNCTION("""COMPUTED_VALUE"""),1)</f>
        <v>1</v>
      </c>
      <c r="M228">
        <f ca="1">IFERROR(__xludf.DUMMYFUNCTION("""COMPUTED_VALUE"""),6)</f>
        <v>6</v>
      </c>
      <c r="N228" s="8"/>
    </row>
    <row r="229" spans="1:14" ht="12.45" hidden="1">
      <c r="A229" t="str">
        <f ca="1">IFERROR(__xludf.DUMMYFUNCTION("""COMPUTED_VALUE"""),"III-1-243")</f>
        <v>III-1-243</v>
      </c>
      <c r="B229" t="str">
        <f ca="1">IFERROR(__xludf.DUMMYFUNCTION("""COMPUTED_VALUE"""),"Колодко")</f>
        <v>Колодко</v>
      </c>
      <c r="C229" t="str">
        <f ca="1">IFERROR(__xludf.DUMMYFUNCTION("""COMPUTED_VALUE"""),"Андрей")</f>
        <v>Андрей</v>
      </c>
      <c r="D229" t="str">
        <f ca="1">IFERROR(__xludf.DUMMYFUNCTION("""COMPUTED_VALUE"""),"Школа 45")</f>
        <v>Школа 45</v>
      </c>
      <c r="E229" s="5">
        <f ca="1">IFERROR(__xludf.DUMMYFUNCTION("""COMPUTED_VALUE"""),2)</f>
        <v>2</v>
      </c>
      <c r="F229" s="5">
        <f ca="1">IFERROR(__xludf.DUMMYFUNCTION("""COMPUTED_VALUE"""),0)</f>
        <v>0</v>
      </c>
      <c r="G229" s="5">
        <f ca="1">IFERROR(__xludf.DUMMYFUNCTION("""COMPUTED_VALUE"""),3)</f>
        <v>3</v>
      </c>
      <c r="H229" s="5">
        <f ca="1">IFERROR(__xludf.DUMMYFUNCTION("""COMPUTED_VALUE"""),0)</f>
        <v>0</v>
      </c>
      <c r="I229" s="5">
        <f ca="1">IFERROR(__xludf.DUMMYFUNCTION("""COMPUTED_VALUE"""),0)</f>
        <v>0</v>
      </c>
      <c r="J229" s="5"/>
      <c r="K229" s="5">
        <f ca="1">IFERROR(__xludf.DUMMYFUNCTION("""COMPUTED_VALUE"""),0)</f>
        <v>0</v>
      </c>
      <c r="L229" s="5">
        <f ca="1">IFERROR(__xludf.DUMMYFUNCTION("""COMPUTED_VALUE"""),1)</f>
        <v>1</v>
      </c>
      <c r="M229">
        <f ca="1">IFERROR(__xludf.DUMMYFUNCTION("""COMPUTED_VALUE"""),6)</f>
        <v>6</v>
      </c>
      <c r="N229" s="8"/>
    </row>
    <row r="230" spans="1:14" ht="12.45" hidden="1">
      <c r="A230" t="str">
        <f ca="1">IFERROR(__xludf.DUMMYFUNCTION("""COMPUTED_VALUE"""),"V-1-310")</f>
        <v>V-1-310</v>
      </c>
      <c r="B230" t="str">
        <f ca="1">IFERROR(__xludf.DUMMYFUNCTION("""COMPUTED_VALUE"""),"Мальцев")</f>
        <v>Мальцев</v>
      </c>
      <c r="C230" t="str">
        <f ca="1">IFERROR(__xludf.DUMMYFUNCTION("""COMPUTED_VALUE"""),"Александр")</f>
        <v>Александр</v>
      </c>
      <c r="D230" t="str">
        <f ca="1">IFERROR(__xludf.DUMMYFUNCTION("""COMPUTED_VALUE"""),"Школа 45")</f>
        <v>Школа 45</v>
      </c>
      <c r="E230" s="5">
        <f ca="1">IFERROR(__xludf.DUMMYFUNCTION("""COMPUTED_VALUE"""),2)</f>
        <v>2</v>
      </c>
      <c r="F230" s="5">
        <f ca="1">IFERROR(__xludf.DUMMYFUNCTION("""COMPUTED_VALUE"""),3)</f>
        <v>3</v>
      </c>
      <c r="G230" s="5"/>
      <c r="H230" s="5"/>
      <c r="I230" s="5"/>
      <c r="J230" s="5"/>
      <c r="K230" s="5">
        <f ca="1">IFERROR(__xludf.DUMMYFUNCTION("""COMPUTED_VALUE"""),0)</f>
        <v>0</v>
      </c>
      <c r="L230" s="5">
        <f ca="1">IFERROR(__xludf.DUMMYFUNCTION("""COMPUTED_VALUE"""),1)</f>
        <v>1</v>
      </c>
      <c r="M230">
        <f ca="1">IFERROR(__xludf.DUMMYFUNCTION("""COMPUTED_VALUE"""),6)</f>
        <v>6</v>
      </c>
      <c r="N230" s="8"/>
    </row>
    <row r="231" spans="1:14" ht="12.45" hidden="1">
      <c r="A231" t="str">
        <f ca="1">IFERROR(__xludf.DUMMYFUNCTION("""COMPUTED_VALUE"""),"V-1-544")</f>
        <v>V-1-544</v>
      </c>
      <c r="B231" t="str">
        <f ca="1">IFERROR(__xludf.DUMMYFUNCTION("""COMPUTED_VALUE"""),"Федулина")</f>
        <v>Федулина</v>
      </c>
      <c r="C231" t="str">
        <f ca="1">IFERROR(__xludf.DUMMYFUNCTION("""COMPUTED_VALUE"""),"Ксения")</f>
        <v>Ксения</v>
      </c>
      <c r="D231" t="str">
        <f ca="1">IFERROR(__xludf.DUMMYFUNCTION("""COMPUTED_VALUE"""),"Школа 407")</f>
        <v>Школа 407</v>
      </c>
      <c r="E231" s="5">
        <f ca="1">IFERROR(__xludf.DUMMYFUNCTION("""COMPUTED_VALUE"""),1)</f>
        <v>1</v>
      </c>
      <c r="F231" s="5">
        <f ca="1">IFERROR(__xludf.DUMMYFUNCTION("""COMPUTED_VALUE"""),0)</f>
        <v>0</v>
      </c>
      <c r="G231" s="5"/>
      <c r="H231" s="5">
        <f ca="1">IFERROR(__xludf.DUMMYFUNCTION("""COMPUTED_VALUE"""),0)</f>
        <v>0</v>
      </c>
      <c r="I231" s="5"/>
      <c r="J231" s="5">
        <f ca="1">IFERROR(__xludf.DUMMYFUNCTION("""COMPUTED_VALUE"""),0)</f>
        <v>0</v>
      </c>
      <c r="K231" s="5">
        <f ca="1">IFERROR(__xludf.DUMMYFUNCTION("""COMPUTED_VALUE"""),4)</f>
        <v>4</v>
      </c>
      <c r="L231" s="5">
        <f ca="1">IFERROR(__xludf.DUMMYFUNCTION("""COMPUTED_VALUE"""),1)</f>
        <v>1</v>
      </c>
      <c r="M231">
        <f ca="1">IFERROR(__xludf.DUMMYFUNCTION("""COMPUTED_VALUE"""),6)</f>
        <v>6</v>
      </c>
      <c r="N231" s="8"/>
    </row>
    <row r="232" spans="1:14" ht="12.45" hidden="1">
      <c r="A232" t="str">
        <f ca="1">IFERROR(__xludf.DUMMYFUNCTION("""COMPUTED_VALUE"""),"V-1-480")</f>
        <v>V-1-480</v>
      </c>
      <c r="B232" t="str">
        <f ca="1">IFERROR(__xludf.DUMMYFUNCTION("""COMPUTED_VALUE"""),"Созоновский")</f>
        <v>Созоновский</v>
      </c>
      <c r="C232" t="str">
        <f ca="1">IFERROR(__xludf.DUMMYFUNCTION("""COMPUTED_VALUE"""),"Роман")</f>
        <v>Роман</v>
      </c>
      <c r="D232" t="str">
        <f ca="1">IFERROR(__xludf.DUMMYFUNCTION("""COMPUTED_VALUE"""),"Школа 71")</f>
        <v>Школа 71</v>
      </c>
      <c r="E232" s="5">
        <f ca="1">IFERROR(__xludf.DUMMYFUNCTION("""COMPUTED_VALUE"""),2)</f>
        <v>2</v>
      </c>
      <c r="F232" s="5"/>
      <c r="G232" s="5">
        <f ca="1">IFERROR(__xludf.DUMMYFUNCTION("""COMPUTED_VALUE"""),3)</f>
        <v>3</v>
      </c>
      <c r="H232" s="5">
        <f ca="1">IFERROR(__xludf.DUMMYFUNCTION("""COMPUTED_VALUE"""),0)</f>
        <v>0</v>
      </c>
      <c r="I232" s="5"/>
      <c r="J232" s="5"/>
      <c r="K232" s="5"/>
      <c r="L232" s="5">
        <f ca="1">IFERROR(__xludf.DUMMYFUNCTION("""COMPUTED_VALUE"""),1)</f>
        <v>1</v>
      </c>
      <c r="M232">
        <f ca="1">IFERROR(__xludf.DUMMYFUNCTION("""COMPUTED_VALUE"""),6)</f>
        <v>6</v>
      </c>
      <c r="N232" s="8"/>
    </row>
    <row r="233" spans="1:14" ht="12.45" hidden="1">
      <c r="A233" t="str">
        <f ca="1">IFERROR(__xludf.DUMMYFUNCTION("""COMPUTED_VALUE"""),"III-1-246")</f>
        <v>III-1-246</v>
      </c>
      <c r="B233" t="str">
        <f ca="1">IFERROR(__xludf.DUMMYFUNCTION("""COMPUTED_VALUE"""),"Кондратьева")</f>
        <v>Кондратьева</v>
      </c>
      <c r="C233" t="str">
        <f ca="1">IFERROR(__xludf.DUMMYFUNCTION("""COMPUTED_VALUE"""),"Марина")</f>
        <v>Марина</v>
      </c>
      <c r="D233" t="str">
        <f ca="1">IFERROR(__xludf.DUMMYFUNCTION("""COMPUTED_VALUE"""),"Гимназия Земля и Вселенная. 642")</f>
        <v>Гимназия Земля и Вселенная. 642</v>
      </c>
      <c r="E233" s="5">
        <f ca="1">IFERROR(__xludf.DUMMYFUNCTION("""COMPUTED_VALUE"""),2)</f>
        <v>2</v>
      </c>
      <c r="F233" s="5">
        <f ca="1">IFERROR(__xludf.DUMMYFUNCTION("""COMPUTED_VALUE"""),0)</f>
        <v>0</v>
      </c>
      <c r="G233" s="5">
        <f ca="1">IFERROR(__xludf.DUMMYFUNCTION("""COMPUTED_VALUE"""),3)</f>
        <v>3</v>
      </c>
      <c r="H233" s="5"/>
      <c r="I233" s="5"/>
      <c r="J233" s="5"/>
      <c r="K233" s="5"/>
      <c r="L233" s="5">
        <f ca="1">IFERROR(__xludf.DUMMYFUNCTION("""COMPUTED_VALUE"""),1)</f>
        <v>1</v>
      </c>
      <c r="M233">
        <f ca="1">IFERROR(__xludf.DUMMYFUNCTION("""COMPUTED_VALUE"""),6)</f>
        <v>6</v>
      </c>
      <c r="N233" s="8"/>
    </row>
    <row r="234" spans="1:14" ht="12.45" hidden="1">
      <c r="A234" t="str">
        <f ca="1">IFERROR(__xludf.DUMMYFUNCTION("""COMPUTED_VALUE"""),"III-1-102")</f>
        <v>III-1-102</v>
      </c>
      <c r="B234" t="str">
        <f ca="1">IFERROR(__xludf.DUMMYFUNCTION("""COMPUTED_VALUE"""),"Виноградова")</f>
        <v>Виноградова</v>
      </c>
      <c r="C234" t="str">
        <f ca="1">IFERROR(__xludf.DUMMYFUNCTION("""COMPUTED_VALUE"""),"Анастасия")</f>
        <v>Анастасия</v>
      </c>
      <c r="D234" t="str">
        <f ca="1">IFERROR(__xludf.DUMMYFUNCTION("""COMPUTED_VALUE"""),"Гимназия 261")</f>
        <v>Гимназия 261</v>
      </c>
      <c r="E234" s="5">
        <f ca="1">IFERROR(__xludf.DUMMYFUNCTION("""COMPUTED_VALUE"""),1)</f>
        <v>1</v>
      </c>
      <c r="F234" s="5">
        <f ca="1">IFERROR(__xludf.DUMMYFUNCTION("""COMPUTED_VALUE"""),0)</f>
        <v>0</v>
      </c>
      <c r="G234" s="5">
        <f ca="1">IFERROR(__xludf.DUMMYFUNCTION("""COMPUTED_VALUE"""),0)</f>
        <v>0</v>
      </c>
      <c r="H234" s="5">
        <f ca="1">IFERROR(__xludf.DUMMYFUNCTION("""COMPUTED_VALUE"""),0)</f>
        <v>0</v>
      </c>
      <c r="I234" s="5"/>
      <c r="J234" s="5">
        <f ca="1">IFERROR(__xludf.DUMMYFUNCTION("""COMPUTED_VALUE"""),0)</f>
        <v>0</v>
      </c>
      <c r="K234" s="5">
        <f ca="1">IFERROR(__xludf.DUMMYFUNCTION("""COMPUTED_VALUE"""),4)</f>
        <v>4</v>
      </c>
      <c r="L234" s="5">
        <f ca="1">IFERROR(__xludf.DUMMYFUNCTION("""COMPUTED_VALUE"""),1)</f>
        <v>1</v>
      </c>
      <c r="M234">
        <f ca="1">IFERROR(__xludf.DUMMYFUNCTION("""COMPUTED_VALUE"""),6)</f>
        <v>6</v>
      </c>
      <c r="N234" s="8"/>
    </row>
    <row r="235" spans="1:14" ht="12.45" hidden="1">
      <c r="A235" t="str">
        <f ca="1">IFERROR(__xludf.DUMMYFUNCTION("""COMPUTED_VALUE"""),"III-1-104")</f>
        <v>III-1-104</v>
      </c>
      <c r="B235" t="str">
        <f ca="1">IFERROR(__xludf.DUMMYFUNCTION("""COMPUTED_VALUE"""),"Вишняков")</f>
        <v>Вишняков</v>
      </c>
      <c r="C235" t="str">
        <f ca="1">IFERROR(__xludf.DUMMYFUNCTION("""COMPUTED_VALUE"""),"Фёдор")</f>
        <v>Фёдор</v>
      </c>
      <c r="D235" t="str">
        <f ca="1">IFERROR(__xludf.DUMMYFUNCTION("""COMPUTED_VALUE"""),"Школа 435")</f>
        <v>Школа 435</v>
      </c>
      <c r="E235" s="5">
        <f ca="1">IFERROR(__xludf.DUMMYFUNCTION("""COMPUTED_VALUE"""),2)</f>
        <v>2</v>
      </c>
      <c r="F235" s="5">
        <f ca="1">IFERROR(__xludf.DUMMYFUNCTION("""COMPUTED_VALUE"""),3)</f>
        <v>3</v>
      </c>
      <c r="G235" s="5">
        <f ca="1">IFERROR(__xludf.DUMMYFUNCTION("""COMPUTED_VALUE"""),0)</f>
        <v>0</v>
      </c>
      <c r="H235" s="5">
        <f ca="1">IFERROR(__xludf.DUMMYFUNCTION("""COMPUTED_VALUE"""),0)</f>
        <v>0</v>
      </c>
      <c r="I235" s="5">
        <f ca="1">IFERROR(__xludf.DUMMYFUNCTION("""COMPUTED_VALUE"""),0)</f>
        <v>0</v>
      </c>
      <c r="J235" s="5">
        <f ca="1">IFERROR(__xludf.DUMMYFUNCTION("""COMPUTED_VALUE"""),0)</f>
        <v>0</v>
      </c>
      <c r="K235" s="5">
        <f ca="1">IFERROR(__xludf.DUMMYFUNCTION("""COMPUTED_VALUE"""),0)</f>
        <v>0</v>
      </c>
      <c r="L235" s="5">
        <f ca="1">IFERROR(__xludf.DUMMYFUNCTION("""COMPUTED_VALUE"""),1)</f>
        <v>1</v>
      </c>
      <c r="M235">
        <f ca="1">IFERROR(__xludf.DUMMYFUNCTION("""COMPUTED_VALUE"""),6)</f>
        <v>6</v>
      </c>
      <c r="N235" s="8"/>
    </row>
    <row r="236" spans="1:14" ht="12.45" hidden="1">
      <c r="A236" t="str">
        <f ca="1">IFERROR(__xludf.DUMMYFUNCTION("""COMPUTED_VALUE"""),"III-1-187")</f>
        <v>III-1-187</v>
      </c>
      <c r="B236" t="str">
        <f ca="1">IFERROR(__xludf.DUMMYFUNCTION("""COMPUTED_VALUE"""),"Захаров")</f>
        <v>Захаров</v>
      </c>
      <c r="C236" t="str">
        <f ca="1">IFERROR(__xludf.DUMMYFUNCTION("""COMPUTED_VALUE"""),"Валерий")</f>
        <v>Валерий</v>
      </c>
      <c r="D236" t="str">
        <f ca="1">IFERROR(__xludf.DUMMYFUNCTION("""COMPUTED_VALUE"""),"Гимназия 295")</f>
        <v>Гимназия 295</v>
      </c>
      <c r="E236" s="5">
        <f ca="1">IFERROR(__xludf.DUMMYFUNCTION("""COMPUTED_VALUE"""),2)</f>
        <v>2</v>
      </c>
      <c r="F236" s="5">
        <f ca="1">IFERROR(__xludf.DUMMYFUNCTION("""COMPUTED_VALUE"""),0)</f>
        <v>0</v>
      </c>
      <c r="G236" s="5">
        <f ca="1">IFERROR(__xludf.DUMMYFUNCTION("""COMPUTED_VALUE"""),0)</f>
        <v>0</v>
      </c>
      <c r="H236" s="5">
        <f ca="1">IFERROR(__xludf.DUMMYFUNCTION("""COMPUTED_VALUE"""),0)</f>
        <v>0</v>
      </c>
      <c r="I236" s="5">
        <f ca="1">IFERROR(__xludf.DUMMYFUNCTION("""COMPUTED_VALUE"""),0)</f>
        <v>0</v>
      </c>
      <c r="J236" s="5">
        <f ca="1">IFERROR(__xludf.DUMMYFUNCTION("""COMPUTED_VALUE"""),0)</f>
        <v>0</v>
      </c>
      <c r="K236" s="5">
        <f ca="1">IFERROR(__xludf.DUMMYFUNCTION("""COMPUTED_VALUE"""),4)</f>
        <v>4</v>
      </c>
      <c r="L236" s="5">
        <f ca="1">IFERROR(__xludf.DUMMYFUNCTION("""COMPUTED_VALUE"""),0)</f>
        <v>0</v>
      </c>
      <c r="M236">
        <f ca="1">IFERROR(__xludf.DUMMYFUNCTION("""COMPUTED_VALUE"""),6)</f>
        <v>6</v>
      </c>
      <c r="N236" s="8"/>
    </row>
    <row r="237" spans="1:14" ht="12.45" hidden="1">
      <c r="A237" t="str">
        <f ca="1">IFERROR(__xludf.DUMMYFUNCTION("""COMPUTED_VALUE"""),"V-1-404")</f>
        <v>V-1-404</v>
      </c>
      <c r="B237" t="str">
        <f ca="1">IFERROR(__xludf.DUMMYFUNCTION("""COMPUTED_VALUE"""),"Плохих")</f>
        <v>Плохих</v>
      </c>
      <c r="C237" t="str">
        <f ca="1">IFERROR(__xludf.DUMMYFUNCTION("""COMPUTED_VALUE"""),"Арсений")</f>
        <v>Арсений</v>
      </c>
      <c r="D237" t="str">
        <f ca="1">IFERROR(__xludf.DUMMYFUNCTION("""COMPUTED_VALUE"""),"Школа 617")</f>
        <v>Школа 617</v>
      </c>
      <c r="E237" s="5">
        <f ca="1">IFERROR(__xludf.DUMMYFUNCTION("""COMPUTED_VALUE"""),2)</f>
        <v>2</v>
      </c>
      <c r="F237" s="5">
        <f ca="1">IFERROR(__xludf.DUMMYFUNCTION("""COMPUTED_VALUE"""),0)</f>
        <v>0</v>
      </c>
      <c r="G237" s="5">
        <f ca="1">IFERROR(__xludf.DUMMYFUNCTION("""COMPUTED_VALUE"""),3)</f>
        <v>3</v>
      </c>
      <c r="H237" s="5">
        <f ca="1">IFERROR(__xludf.DUMMYFUNCTION("""COMPUTED_VALUE"""),0)</f>
        <v>0</v>
      </c>
      <c r="I237" s="5">
        <f ca="1">IFERROR(__xludf.DUMMYFUNCTION("""COMPUTED_VALUE"""),0)</f>
        <v>0</v>
      </c>
      <c r="J237" s="5">
        <f ca="1">IFERROR(__xludf.DUMMYFUNCTION("""COMPUTED_VALUE"""),0)</f>
        <v>0</v>
      </c>
      <c r="K237" s="5">
        <f ca="1">IFERROR(__xludf.DUMMYFUNCTION("""COMPUTED_VALUE"""),0)</f>
        <v>0</v>
      </c>
      <c r="L237" s="5">
        <f ca="1">IFERROR(__xludf.DUMMYFUNCTION("""COMPUTED_VALUE"""),1)</f>
        <v>1</v>
      </c>
      <c r="M237">
        <f ca="1">IFERROR(__xludf.DUMMYFUNCTION("""COMPUTED_VALUE"""),6)</f>
        <v>6</v>
      </c>
      <c r="N237" s="8"/>
    </row>
    <row r="238" spans="1:14" ht="12.45" hidden="1">
      <c r="A238" t="str">
        <f ca="1">IFERROR(__xludf.DUMMYFUNCTION("""COMPUTED_VALUE"""),"III-1-298")</f>
        <v>III-1-298</v>
      </c>
      <c r="B238" t="str">
        <f ca="1">IFERROR(__xludf.DUMMYFUNCTION("""COMPUTED_VALUE"""),"Луговой")</f>
        <v>Луговой</v>
      </c>
      <c r="C238" t="str">
        <f ca="1">IFERROR(__xludf.DUMMYFUNCTION("""COMPUTED_VALUE"""),"Андрей")</f>
        <v>Андрей</v>
      </c>
      <c r="D238" t="str">
        <f ca="1">IFERROR(__xludf.DUMMYFUNCTION("""COMPUTED_VALUE"""),"Гимназия Гимназия при ГРМ")</f>
        <v>Гимназия Гимназия при ГРМ</v>
      </c>
      <c r="E238" s="5">
        <f ca="1">IFERROR(__xludf.DUMMYFUNCTION("""COMPUTED_VALUE"""),1)</f>
        <v>1</v>
      </c>
      <c r="F238" s="5">
        <f ca="1">IFERROR(__xludf.DUMMYFUNCTION("""COMPUTED_VALUE"""),0)</f>
        <v>0</v>
      </c>
      <c r="G238" s="5">
        <f ca="1">IFERROR(__xludf.DUMMYFUNCTION("""COMPUTED_VALUE"""),3)</f>
        <v>3</v>
      </c>
      <c r="H238" s="5">
        <f ca="1">IFERROR(__xludf.DUMMYFUNCTION("""COMPUTED_VALUE"""),1)</f>
        <v>1</v>
      </c>
      <c r="I238" s="5">
        <f ca="1">IFERROR(__xludf.DUMMYFUNCTION("""COMPUTED_VALUE"""),0)</f>
        <v>0</v>
      </c>
      <c r="J238" s="5">
        <f ca="1">IFERROR(__xludf.DUMMYFUNCTION("""COMPUTED_VALUE"""),0)</f>
        <v>0</v>
      </c>
      <c r="K238" s="5">
        <f ca="1">IFERROR(__xludf.DUMMYFUNCTION("""COMPUTED_VALUE"""),0)</f>
        <v>0</v>
      </c>
      <c r="L238" s="5">
        <f ca="1">IFERROR(__xludf.DUMMYFUNCTION("""COMPUTED_VALUE"""),1)</f>
        <v>1</v>
      </c>
      <c r="M238">
        <f ca="1">IFERROR(__xludf.DUMMYFUNCTION("""COMPUTED_VALUE"""),6)</f>
        <v>6</v>
      </c>
      <c r="N238" s="8"/>
    </row>
    <row r="239" spans="1:14" ht="12.45" hidden="1">
      <c r="A239" t="str">
        <f ca="1">IFERROR(__xludf.DUMMYFUNCTION("""COMPUTED_VALUE"""),"III-1-023")</f>
        <v>III-1-023</v>
      </c>
      <c r="B239" t="str">
        <f ca="1">IFERROR(__xludf.DUMMYFUNCTION("""COMPUTED_VALUE"""),"Анохина")</f>
        <v>Анохина</v>
      </c>
      <c r="C239" t="str">
        <f ca="1">IFERROR(__xludf.DUMMYFUNCTION("""COMPUTED_VALUE"""),"Мария")</f>
        <v>Мария</v>
      </c>
      <c r="D239" t="str">
        <f ca="1">IFERROR(__xludf.DUMMYFUNCTION("""COMPUTED_VALUE"""),"Школа 213")</f>
        <v>Школа 213</v>
      </c>
      <c r="E239" s="5">
        <f ca="1">IFERROR(__xludf.DUMMYFUNCTION("""COMPUTED_VALUE"""),2)</f>
        <v>2</v>
      </c>
      <c r="F239" s="5">
        <f ca="1">IFERROR(__xludf.DUMMYFUNCTION("""COMPUTED_VALUE"""),0)</f>
        <v>0</v>
      </c>
      <c r="G239" s="5">
        <f ca="1">IFERROR(__xludf.DUMMYFUNCTION("""COMPUTED_VALUE"""),3)</f>
        <v>3</v>
      </c>
      <c r="H239" s="5">
        <f ca="1">IFERROR(__xludf.DUMMYFUNCTION("""COMPUTED_VALUE"""),0)</f>
        <v>0</v>
      </c>
      <c r="I239" s="5">
        <f ca="1">IFERROR(__xludf.DUMMYFUNCTION("""COMPUTED_VALUE"""),0)</f>
        <v>0</v>
      </c>
      <c r="J239" s="5">
        <f ca="1">IFERROR(__xludf.DUMMYFUNCTION("""COMPUTED_VALUE"""),0)</f>
        <v>0</v>
      </c>
      <c r="K239" s="5">
        <f ca="1">IFERROR(__xludf.DUMMYFUNCTION("""COMPUTED_VALUE"""),0)</f>
        <v>0</v>
      </c>
      <c r="L239" s="5">
        <f ca="1">IFERROR(__xludf.DUMMYFUNCTION("""COMPUTED_VALUE"""),1)</f>
        <v>1</v>
      </c>
      <c r="M239">
        <f ca="1">IFERROR(__xludf.DUMMYFUNCTION("""COMPUTED_VALUE"""),6)</f>
        <v>6</v>
      </c>
      <c r="N239" s="8"/>
    </row>
    <row r="240" spans="1:14" ht="12.45" hidden="1">
      <c r="A240" t="str">
        <f ca="1">IFERROR(__xludf.DUMMYFUNCTION("""COMPUTED_VALUE"""),"V-1-579")</f>
        <v>V-1-579</v>
      </c>
      <c r="B240" t="str">
        <f ca="1">IFERROR(__xludf.DUMMYFUNCTION("""COMPUTED_VALUE"""),"Чигаева")</f>
        <v>Чигаева</v>
      </c>
      <c r="C240" t="str">
        <f ca="1">IFERROR(__xludf.DUMMYFUNCTION("""COMPUTED_VALUE"""),"Дарья")</f>
        <v>Дарья</v>
      </c>
      <c r="D240" t="str">
        <f ca="1">IFERROR(__xludf.DUMMYFUNCTION("""COMPUTED_VALUE"""),"Школа 100")</f>
        <v>Школа 100</v>
      </c>
      <c r="E240" s="5">
        <f ca="1">IFERROR(__xludf.DUMMYFUNCTION("""COMPUTED_VALUE"""),2)</f>
        <v>2</v>
      </c>
      <c r="F240" s="5">
        <f ca="1">IFERROR(__xludf.DUMMYFUNCTION("""COMPUTED_VALUE"""),0)</f>
        <v>0</v>
      </c>
      <c r="G240" s="5">
        <f ca="1">IFERROR(__xludf.DUMMYFUNCTION("""COMPUTED_VALUE"""),3)</f>
        <v>3</v>
      </c>
      <c r="H240" s="5">
        <f ca="1">IFERROR(__xludf.DUMMYFUNCTION("""COMPUTED_VALUE"""),0)</f>
        <v>0</v>
      </c>
      <c r="I240" s="5">
        <f ca="1">IFERROR(__xludf.DUMMYFUNCTION("""COMPUTED_VALUE"""),0)</f>
        <v>0</v>
      </c>
      <c r="J240" s="5">
        <f ca="1">IFERROR(__xludf.DUMMYFUNCTION("""COMPUTED_VALUE"""),0)</f>
        <v>0</v>
      </c>
      <c r="K240" s="5">
        <f ca="1">IFERROR(__xludf.DUMMYFUNCTION("""COMPUTED_VALUE"""),0)</f>
        <v>0</v>
      </c>
      <c r="L240" s="5">
        <f ca="1">IFERROR(__xludf.DUMMYFUNCTION("""COMPUTED_VALUE"""),1)</f>
        <v>1</v>
      </c>
      <c r="M240">
        <f ca="1">IFERROR(__xludf.DUMMYFUNCTION("""COMPUTED_VALUE"""),6)</f>
        <v>6</v>
      </c>
      <c r="N240" s="8"/>
    </row>
    <row r="241" spans="1:14" ht="12.45" hidden="1">
      <c r="A241" t="str">
        <f ca="1">IFERROR(__xludf.DUMMYFUNCTION("""COMPUTED_VALUE"""),"III-1-284")</f>
        <v>III-1-284</v>
      </c>
      <c r="B241" t="str">
        <f ca="1">IFERROR(__xludf.DUMMYFUNCTION("""COMPUTED_VALUE"""),"Лазута")</f>
        <v>Лазута</v>
      </c>
      <c r="C241" t="str">
        <f ca="1">IFERROR(__xludf.DUMMYFUNCTION("""COMPUTED_VALUE"""),"Нина")</f>
        <v>Нина</v>
      </c>
      <c r="D241" t="str">
        <f ca="1">IFERROR(__xludf.DUMMYFUNCTION("""COMPUTED_VALUE"""),"Школа 253")</f>
        <v>Школа 253</v>
      </c>
      <c r="E241" s="5">
        <f ca="1">IFERROR(__xludf.DUMMYFUNCTION("""COMPUTED_VALUE"""),2)</f>
        <v>2</v>
      </c>
      <c r="F241" s="5">
        <f ca="1">IFERROR(__xludf.DUMMYFUNCTION("""COMPUTED_VALUE"""),0)</f>
        <v>0</v>
      </c>
      <c r="G241" s="5">
        <f ca="1">IFERROR(__xludf.DUMMYFUNCTION("""COMPUTED_VALUE"""),3)</f>
        <v>3</v>
      </c>
      <c r="H241" s="5">
        <f ca="1">IFERROR(__xludf.DUMMYFUNCTION("""COMPUTED_VALUE"""),1)</f>
        <v>1</v>
      </c>
      <c r="I241" s="5">
        <f ca="1">IFERROR(__xludf.DUMMYFUNCTION("""COMPUTED_VALUE"""),0)</f>
        <v>0</v>
      </c>
      <c r="J241" s="5">
        <f ca="1">IFERROR(__xludf.DUMMYFUNCTION("""COMPUTED_VALUE"""),0)</f>
        <v>0</v>
      </c>
      <c r="K241" s="5">
        <f ca="1">IFERROR(__xludf.DUMMYFUNCTION("""COMPUTED_VALUE"""),0)</f>
        <v>0</v>
      </c>
      <c r="L241" s="5">
        <f ca="1">IFERROR(__xludf.DUMMYFUNCTION("""COMPUTED_VALUE"""),0)</f>
        <v>0</v>
      </c>
      <c r="M241">
        <f ca="1">IFERROR(__xludf.DUMMYFUNCTION("""COMPUTED_VALUE"""),6)</f>
        <v>6</v>
      </c>
      <c r="N241" s="8"/>
    </row>
    <row r="242" spans="1:14" ht="12.45" hidden="1">
      <c r="A242" t="str">
        <f ca="1">IFERROR(__xludf.DUMMYFUNCTION("""COMPUTED_VALUE"""),"V-1-307")</f>
        <v>V-1-307</v>
      </c>
      <c r="B242" t="str">
        <f ca="1">IFERROR(__xludf.DUMMYFUNCTION("""COMPUTED_VALUE"""),"Максимова")</f>
        <v>Максимова</v>
      </c>
      <c r="C242" t="str">
        <f ca="1">IFERROR(__xludf.DUMMYFUNCTION("""COMPUTED_VALUE"""),"Ольга")</f>
        <v>Ольга</v>
      </c>
      <c r="D242" t="str">
        <f ca="1">IFERROR(__xludf.DUMMYFUNCTION("""COMPUTED_VALUE"""),"Школа 544")</f>
        <v>Школа 544</v>
      </c>
      <c r="E242" s="5">
        <f ca="1">IFERROR(__xludf.DUMMYFUNCTION("""COMPUTED_VALUE"""),0)</f>
        <v>0</v>
      </c>
      <c r="F242" s="5">
        <f ca="1">IFERROR(__xludf.DUMMYFUNCTION("""COMPUTED_VALUE"""),0)</f>
        <v>0</v>
      </c>
      <c r="G242" s="5">
        <f ca="1">IFERROR(__xludf.DUMMYFUNCTION("""COMPUTED_VALUE"""),3)</f>
        <v>3</v>
      </c>
      <c r="H242" s="5">
        <f ca="1">IFERROR(__xludf.DUMMYFUNCTION("""COMPUTED_VALUE"""),0)</f>
        <v>0</v>
      </c>
      <c r="I242" s="5">
        <f ca="1">IFERROR(__xludf.DUMMYFUNCTION("""COMPUTED_VALUE"""),2)</f>
        <v>2</v>
      </c>
      <c r="J242" s="5">
        <f ca="1">IFERROR(__xludf.DUMMYFUNCTION("""COMPUTED_VALUE"""),0)</f>
        <v>0</v>
      </c>
      <c r="K242" s="5">
        <f ca="1">IFERROR(__xludf.DUMMYFUNCTION("""COMPUTED_VALUE"""),0)</f>
        <v>0</v>
      </c>
      <c r="L242" s="5">
        <f ca="1">IFERROR(__xludf.DUMMYFUNCTION("""COMPUTED_VALUE"""),1)</f>
        <v>1</v>
      </c>
      <c r="M242">
        <f ca="1">IFERROR(__xludf.DUMMYFUNCTION("""COMPUTED_VALUE"""),6)</f>
        <v>6</v>
      </c>
      <c r="N242" s="8"/>
    </row>
    <row r="243" spans="1:14" ht="12.45" hidden="1">
      <c r="A243" t="str">
        <f ca="1">IFERROR(__xludf.DUMMYFUNCTION("""COMPUTED_VALUE"""),"III-1-079")</f>
        <v>III-1-079</v>
      </c>
      <c r="B243" t="str">
        <f ca="1">IFERROR(__xludf.DUMMYFUNCTION("""COMPUTED_VALUE"""),"Булков")</f>
        <v>Булков</v>
      </c>
      <c r="C243" t="str">
        <f ca="1">IFERROR(__xludf.DUMMYFUNCTION("""COMPUTED_VALUE"""),"Иван")</f>
        <v>Иван</v>
      </c>
      <c r="D243" t="str">
        <f ca="1">IFERROR(__xludf.DUMMYFUNCTION("""COMPUTED_VALUE"""),"Школа 18")</f>
        <v>Школа 18</v>
      </c>
      <c r="E243" s="5">
        <f ca="1">IFERROR(__xludf.DUMMYFUNCTION("""COMPUTED_VALUE"""),2)</f>
        <v>2</v>
      </c>
      <c r="F243" s="5">
        <f ca="1">IFERROR(__xludf.DUMMYFUNCTION("""COMPUTED_VALUE"""),0)</f>
        <v>0</v>
      </c>
      <c r="G243" s="5">
        <f ca="1">IFERROR(__xludf.DUMMYFUNCTION("""COMPUTED_VALUE"""),3)</f>
        <v>3</v>
      </c>
      <c r="H243" s="5">
        <f ca="1">IFERROR(__xludf.DUMMYFUNCTION("""COMPUTED_VALUE"""),0)</f>
        <v>0</v>
      </c>
      <c r="I243" s="5">
        <f ca="1">IFERROR(__xludf.DUMMYFUNCTION("""COMPUTED_VALUE"""),0)</f>
        <v>0</v>
      </c>
      <c r="J243" s="5">
        <f ca="1">IFERROR(__xludf.DUMMYFUNCTION("""COMPUTED_VALUE"""),0)</f>
        <v>0</v>
      </c>
      <c r="K243" s="5">
        <f ca="1">IFERROR(__xludf.DUMMYFUNCTION("""COMPUTED_VALUE"""),0)</f>
        <v>0</v>
      </c>
      <c r="L243" s="5">
        <f ca="1">IFERROR(__xludf.DUMMYFUNCTION("""COMPUTED_VALUE"""),1)</f>
        <v>1</v>
      </c>
      <c r="M243">
        <f ca="1">IFERROR(__xludf.DUMMYFUNCTION("""COMPUTED_VALUE"""),6)</f>
        <v>6</v>
      </c>
      <c r="N243" s="8"/>
    </row>
    <row r="244" spans="1:14" ht="12.45" hidden="1">
      <c r="A244" t="str">
        <f ca="1">IFERROR(__xludf.DUMMYFUNCTION("""COMPUTED_VALUE"""),"III-1-131")</f>
        <v>III-1-131</v>
      </c>
      <c r="B244" t="str">
        <f ca="1">IFERROR(__xludf.DUMMYFUNCTION("""COMPUTED_VALUE"""),"Гольдштейн")</f>
        <v>Гольдштейн</v>
      </c>
      <c r="C244" t="str">
        <f ca="1">IFERROR(__xludf.DUMMYFUNCTION("""COMPUTED_VALUE"""),"София")</f>
        <v>София</v>
      </c>
      <c r="D244" t="str">
        <f ca="1">IFERROR(__xludf.DUMMYFUNCTION("""COMPUTED_VALUE"""),"Школа AAS")</f>
        <v>Школа AAS</v>
      </c>
      <c r="E244" s="5">
        <f ca="1">IFERROR(__xludf.DUMMYFUNCTION("""COMPUTED_VALUE"""),0)</f>
        <v>0</v>
      </c>
      <c r="F244" s="5"/>
      <c r="G244" s="5"/>
      <c r="H244" s="5"/>
      <c r="I244" s="5">
        <f ca="1">IFERROR(__xludf.DUMMYFUNCTION("""COMPUTED_VALUE"""),0)</f>
        <v>0</v>
      </c>
      <c r="J244" s="5">
        <f ca="1">IFERROR(__xludf.DUMMYFUNCTION("""COMPUTED_VALUE"""),4)</f>
        <v>4</v>
      </c>
      <c r="K244" s="5"/>
      <c r="L244" s="5">
        <f ca="1">IFERROR(__xludf.DUMMYFUNCTION("""COMPUTED_VALUE"""),1)</f>
        <v>1</v>
      </c>
      <c r="M244">
        <f ca="1">IFERROR(__xludf.DUMMYFUNCTION("""COMPUTED_VALUE"""),5)</f>
        <v>5</v>
      </c>
      <c r="N244" s="8"/>
    </row>
    <row r="245" spans="1:14" ht="12.45" hidden="1">
      <c r="A245" t="str">
        <f ca="1">IFERROR(__xludf.DUMMYFUNCTION("""COMPUTED_VALUE"""),"III-1-194")</f>
        <v>III-1-194</v>
      </c>
      <c r="B245" t="str">
        <f ca="1">IFERROR(__xludf.DUMMYFUNCTION("""COMPUTED_VALUE"""),"Зинченко")</f>
        <v>Зинченко</v>
      </c>
      <c r="C245" t="str">
        <f ca="1">IFERROR(__xludf.DUMMYFUNCTION("""COMPUTED_VALUE"""),"Алина")</f>
        <v>Алина</v>
      </c>
      <c r="D245" t="str">
        <f ca="1">IFERROR(__xludf.DUMMYFUNCTION("""COMPUTED_VALUE"""),"Гимназия 92")</f>
        <v>Гимназия 92</v>
      </c>
      <c r="E245" s="5">
        <f ca="1">IFERROR(__xludf.DUMMYFUNCTION("""COMPUTED_VALUE"""),0)</f>
        <v>0</v>
      </c>
      <c r="F245" s="5">
        <f ca="1">IFERROR(__xludf.DUMMYFUNCTION("""COMPUTED_VALUE"""),0)</f>
        <v>0</v>
      </c>
      <c r="G245" s="5">
        <f ca="1">IFERROR(__xludf.DUMMYFUNCTION("""COMPUTED_VALUE"""),3)</f>
        <v>3</v>
      </c>
      <c r="H245" s="5">
        <f ca="1">IFERROR(__xludf.DUMMYFUNCTION("""COMPUTED_VALUE"""),1)</f>
        <v>1</v>
      </c>
      <c r="I245" s="5">
        <f ca="1">IFERROR(__xludf.DUMMYFUNCTION("""COMPUTED_VALUE"""),0)</f>
        <v>0</v>
      </c>
      <c r="J245" s="5">
        <f ca="1">IFERROR(__xludf.DUMMYFUNCTION("""COMPUTED_VALUE"""),0)</f>
        <v>0</v>
      </c>
      <c r="K245" s="5">
        <f ca="1">IFERROR(__xludf.DUMMYFUNCTION("""COMPUTED_VALUE"""),0)</f>
        <v>0</v>
      </c>
      <c r="L245" s="5">
        <f ca="1">IFERROR(__xludf.DUMMYFUNCTION("""COMPUTED_VALUE"""),1)</f>
        <v>1</v>
      </c>
      <c r="M245">
        <f ca="1">IFERROR(__xludf.DUMMYFUNCTION("""COMPUTED_VALUE"""),5)</f>
        <v>5</v>
      </c>
      <c r="N245" s="8"/>
    </row>
    <row r="246" spans="1:14" ht="12.45" hidden="1">
      <c r="A246" t="str">
        <f ca="1">IFERROR(__xludf.DUMMYFUNCTION("""COMPUTED_VALUE"""),"III-1-299")</f>
        <v>III-1-299</v>
      </c>
      <c r="B246" t="str">
        <f ca="1">IFERROR(__xludf.DUMMYFUNCTION("""COMPUTED_VALUE"""),"Лукашина")</f>
        <v>Лукашина</v>
      </c>
      <c r="C246" t="str">
        <f ca="1">IFERROR(__xludf.DUMMYFUNCTION("""COMPUTED_VALUE"""),"Варвара")</f>
        <v>Варвара</v>
      </c>
      <c r="D246" t="str">
        <f ca="1">IFERROR(__xludf.DUMMYFUNCTION("""COMPUTED_VALUE"""),"Школа 468")</f>
        <v>Школа 468</v>
      </c>
      <c r="E246" s="5">
        <f ca="1">IFERROR(__xludf.DUMMYFUNCTION("""COMPUTED_VALUE"""),1)</f>
        <v>1</v>
      </c>
      <c r="F246" s="5">
        <f ca="1">IFERROR(__xludf.DUMMYFUNCTION("""COMPUTED_VALUE"""),0)</f>
        <v>0</v>
      </c>
      <c r="G246" s="5">
        <f ca="1">IFERROR(__xludf.DUMMYFUNCTION("""COMPUTED_VALUE"""),3)</f>
        <v>3</v>
      </c>
      <c r="H246" s="5">
        <f ca="1">IFERROR(__xludf.DUMMYFUNCTION("""COMPUTED_VALUE"""),1)</f>
        <v>1</v>
      </c>
      <c r="I246" s="5">
        <f ca="1">IFERROR(__xludf.DUMMYFUNCTION("""COMPUTED_VALUE"""),0)</f>
        <v>0</v>
      </c>
      <c r="J246" s="5">
        <f ca="1">IFERROR(__xludf.DUMMYFUNCTION("""COMPUTED_VALUE"""),0)</f>
        <v>0</v>
      </c>
      <c r="K246" s="5">
        <f ca="1">IFERROR(__xludf.DUMMYFUNCTION("""COMPUTED_VALUE"""),0)</f>
        <v>0</v>
      </c>
      <c r="L246" s="5">
        <f ca="1">IFERROR(__xludf.DUMMYFUNCTION("""COMPUTED_VALUE"""),0)</f>
        <v>0</v>
      </c>
      <c r="M246">
        <f ca="1">IFERROR(__xludf.DUMMYFUNCTION("""COMPUTED_VALUE"""),5)</f>
        <v>5</v>
      </c>
      <c r="N246" s="8"/>
    </row>
    <row r="247" spans="1:14" ht="12.45" hidden="1">
      <c r="A247" t="str">
        <f ca="1">IFERROR(__xludf.DUMMYFUNCTION("""COMPUTED_VALUE"""),"III-1-151")</f>
        <v>III-1-151</v>
      </c>
      <c r="B247" t="str">
        <f ca="1">IFERROR(__xludf.DUMMYFUNCTION("""COMPUTED_VALUE"""),"Давыденко")</f>
        <v>Давыденко</v>
      </c>
      <c r="C247" t="str">
        <f ca="1">IFERROR(__xludf.DUMMYFUNCTION("""COMPUTED_VALUE"""),"Диана")</f>
        <v>Диана</v>
      </c>
      <c r="D247" t="str">
        <f ca="1">IFERROR(__xludf.DUMMYFUNCTION("""COMPUTED_VALUE"""),"Школа 630")</f>
        <v>Школа 630</v>
      </c>
      <c r="E247" s="5">
        <f ca="1">IFERROR(__xludf.DUMMYFUNCTION("""COMPUTED_VALUE"""),1)</f>
        <v>1</v>
      </c>
      <c r="F247" s="5">
        <f ca="1">IFERROR(__xludf.DUMMYFUNCTION("""COMPUTED_VALUE"""),0)</f>
        <v>0</v>
      </c>
      <c r="G247" s="5">
        <f ca="1">IFERROR(__xludf.DUMMYFUNCTION("""COMPUTED_VALUE"""),3)</f>
        <v>3</v>
      </c>
      <c r="H247" s="5">
        <f ca="1">IFERROR(__xludf.DUMMYFUNCTION("""COMPUTED_VALUE"""),0)</f>
        <v>0</v>
      </c>
      <c r="I247" s="5">
        <f ca="1">IFERROR(__xludf.DUMMYFUNCTION("""COMPUTED_VALUE"""),0)</f>
        <v>0</v>
      </c>
      <c r="J247" s="5">
        <f ca="1">IFERROR(__xludf.DUMMYFUNCTION("""COMPUTED_VALUE"""),0)</f>
        <v>0</v>
      </c>
      <c r="K247" s="5">
        <f ca="1">IFERROR(__xludf.DUMMYFUNCTION("""COMPUTED_VALUE"""),0)</f>
        <v>0</v>
      </c>
      <c r="L247" s="5">
        <f ca="1">IFERROR(__xludf.DUMMYFUNCTION("""COMPUTED_VALUE"""),1)</f>
        <v>1</v>
      </c>
      <c r="M247">
        <f ca="1">IFERROR(__xludf.DUMMYFUNCTION("""COMPUTED_VALUE"""),5)</f>
        <v>5</v>
      </c>
      <c r="N247" s="8"/>
    </row>
    <row r="248" spans="1:14" ht="12.45" hidden="1">
      <c r="A248" t="str">
        <f ca="1">IFERROR(__xludf.DUMMYFUNCTION("""COMPUTED_VALUE"""),"V-1-447")</f>
        <v>V-1-447</v>
      </c>
      <c r="B248" t="str">
        <f ca="1">IFERROR(__xludf.DUMMYFUNCTION("""COMPUTED_VALUE"""),"Рудяк")</f>
        <v>Рудяк</v>
      </c>
      <c r="C248" t="str">
        <f ca="1">IFERROR(__xludf.DUMMYFUNCTION("""COMPUTED_VALUE"""),"Кира")</f>
        <v>Кира</v>
      </c>
      <c r="D248" t="str">
        <f ca="1">IFERROR(__xludf.DUMMYFUNCTION("""COMPUTED_VALUE"""),"Школа Праздник+")</f>
        <v>Школа Праздник+</v>
      </c>
      <c r="E248" s="5">
        <f ca="1">IFERROR(__xludf.DUMMYFUNCTION("""COMPUTED_VALUE"""),1)</f>
        <v>1</v>
      </c>
      <c r="F248" s="5">
        <f ca="1">IFERROR(__xludf.DUMMYFUNCTION("""COMPUTED_VALUE"""),0)</f>
        <v>0</v>
      </c>
      <c r="G248" s="5">
        <f ca="1">IFERROR(__xludf.DUMMYFUNCTION("""COMPUTED_VALUE"""),3)</f>
        <v>3</v>
      </c>
      <c r="H248" s="5">
        <f ca="1">IFERROR(__xludf.DUMMYFUNCTION("""COMPUTED_VALUE"""),0)</f>
        <v>0</v>
      </c>
      <c r="I248" s="5"/>
      <c r="J248" s="5">
        <f ca="1">IFERROR(__xludf.DUMMYFUNCTION("""COMPUTED_VALUE"""),0)</f>
        <v>0</v>
      </c>
      <c r="K248" s="5">
        <f ca="1">IFERROR(__xludf.DUMMYFUNCTION("""COMPUTED_VALUE"""),0)</f>
        <v>0</v>
      </c>
      <c r="L248" s="5">
        <f ca="1">IFERROR(__xludf.DUMMYFUNCTION("""COMPUTED_VALUE"""),1)</f>
        <v>1</v>
      </c>
      <c r="M248">
        <f ca="1">IFERROR(__xludf.DUMMYFUNCTION("""COMPUTED_VALUE"""),5)</f>
        <v>5</v>
      </c>
      <c r="N248" s="8"/>
    </row>
    <row r="249" spans="1:14" ht="12.45" hidden="1">
      <c r="A249" t="str">
        <f ca="1">IFERROR(__xludf.DUMMYFUNCTION("""COMPUTED_VALUE"""),"III-1-135")</f>
        <v>III-1-135</v>
      </c>
      <c r="B249" t="str">
        <f ca="1">IFERROR(__xludf.DUMMYFUNCTION("""COMPUTED_VALUE"""),"Горлов")</f>
        <v>Горлов</v>
      </c>
      <c r="C249" t="str">
        <f ca="1">IFERROR(__xludf.DUMMYFUNCTION("""COMPUTED_VALUE"""),"Даниил")</f>
        <v>Даниил</v>
      </c>
      <c r="D249" t="str">
        <f ca="1">IFERROR(__xludf.DUMMYFUNCTION("""COMPUTED_VALUE"""),"Лицей 344")</f>
        <v>Лицей 344</v>
      </c>
      <c r="E249" s="5">
        <f ca="1">IFERROR(__xludf.DUMMYFUNCTION("""COMPUTED_VALUE"""),0)</f>
        <v>0</v>
      </c>
      <c r="F249" s="5">
        <f ca="1">IFERROR(__xludf.DUMMYFUNCTION("""COMPUTED_VALUE"""),0)</f>
        <v>0</v>
      </c>
      <c r="G249" s="5">
        <f ca="1">IFERROR(__xludf.DUMMYFUNCTION("""COMPUTED_VALUE"""),0)</f>
        <v>0</v>
      </c>
      <c r="H249" s="5">
        <f ca="1">IFERROR(__xludf.DUMMYFUNCTION("""COMPUTED_VALUE"""),0)</f>
        <v>0</v>
      </c>
      <c r="I249" s="5"/>
      <c r="J249" s="5">
        <f ca="1">IFERROR(__xludf.DUMMYFUNCTION("""COMPUTED_VALUE"""),4)</f>
        <v>4</v>
      </c>
      <c r="K249" s="5">
        <f ca="1">IFERROR(__xludf.DUMMYFUNCTION("""COMPUTED_VALUE"""),0)</f>
        <v>0</v>
      </c>
      <c r="L249" s="5">
        <f ca="1">IFERROR(__xludf.DUMMYFUNCTION("""COMPUTED_VALUE"""),1)</f>
        <v>1</v>
      </c>
      <c r="M249">
        <f ca="1">IFERROR(__xludf.DUMMYFUNCTION("""COMPUTED_VALUE"""),5)</f>
        <v>5</v>
      </c>
      <c r="N249" s="8"/>
    </row>
    <row r="250" spans="1:14" ht="12.45" hidden="1">
      <c r="A250" t="str">
        <f ca="1">IFERROR(__xludf.DUMMYFUNCTION("""COMPUTED_VALUE"""),"V-1-514")</f>
        <v>V-1-514</v>
      </c>
      <c r="B250" t="str">
        <f ca="1">IFERROR(__xludf.DUMMYFUNCTION("""COMPUTED_VALUE"""),"Терентьев")</f>
        <v>Терентьев</v>
      </c>
      <c r="C250" t="str">
        <f ca="1">IFERROR(__xludf.DUMMYFUNCTION("""COMPUTED_VALUE"""),"Михаил")</f>
        <v>Михаил</v>
      </c>
      <c r="D250" t="str">
        <f ca="1">IFERROR(__xludf.DUMMYFUNCTION("""COMPUTED_VALUE"""),"Гимназия 2 гимназия (подготовительные курсы)")</f>
        <v>Гимназия 2 гимназия (подготовительные курсы)</v>
      </c>
      <c r="E250" s="5">
        <f ca="1">IFERROR(__xludf.DUMMYFUNCTION("""COMPUTED_VALUE"""),1)</f>
        <v>1</v>
      </c>
      <c r="F250" s="5">
        <f ca="1">IFERROR(__xludf.DUMMYFUNCTION("""COMPUTED_VALUE"""),0)</f>
        <v>0</v>
      </c>
      <c r="G250" s="5">
        <f ca="1">IFERROR(__xludf.DUMMYFUNCTION("""COMPUTED_VALUE"""),3)</f>
        <v>3</v>
      </c>
      <c r="H250" s="5">
        <f ca="1">IFERROR(__xludf.DUMMYFUNCTION("""COMPUTED_VALUE"""),0)</f>
        <v>0</v>
      </c>
      <c r="I250" s="5"/>
      <c r="J250" s="5"/>
      <c r="K250" s="5">
        <f ca="1">IFERROR(__xludf.DUMMYFUNCTION("""COMPUTED_VALUE"""),0)</f>
        <v>0</v>
      </c>
      <c r="L250" s="5">
        <f ca="1">IFERROR(__xludf.DUMMYFUNCTION("""COMPUTED_VALUE"""),1)</f>
        <v>1</v>
      </c>
      <c r="M250">
        <f ca="1">IFERROR(__xludf.DUMMYFUNCTION("""COMPUTED_VALUE"""),5)</f>
        <v>5</v>
      </c>
      <c r="N250" s="8"/>
    </row>
    <row r="251" spans="1:14" ht="12.45" hidden="1">
      <c r="A251" t="str">
        <f ca="1">IFERROR(__xludf.DUMMYFUNCTION("""COMPUTED_VALUE"""),"III-1-174")</f>
        <v>III-1-174</v>
      </c>
      <c r="B251" t="str">
        <f ca="1">IFERROR(__xludf.DUMMYFUNCTION("""COMPUTED_VALUE"""),"еременко")</f>
        <v>еременко</v>
      </c>
      <c r="C251" t="str">
        <f ca="1">IFERROR(__xludf.DUMMYFUNCTION("""COMPUTED_VALUE"""),"николай")</f>
        <v>николай</v>
      </c>
      <c r="D251" t="str">
        <f ca="1">IFERROR(__xludf.DUMMYFUNCTION("""COMPUTED_VALUE"""),"Школа 407")</f>
        <v>Школа 407</v>
      </c>
      <c r="E251" s="5">
        <f ca="1">IFERROR(__xludf.DUMMYFUNCTION("""COMPUTED_VALUE"""),0)</f>
        <v>0</v>
      </c>
      <c r="F251" s="5">
        <f ca="1">IFERROR(__xludf.DUMMYFUNCTION("""COMPUTED_VALUE"""),0)</f>
        <v>0</v>
      </c>
      <c r="G251" s="5">
        <f ca="1">IFERROR(__xludf.DUMMYFUNCTION("""COMPUTED_VALUE"""),3)</f>
        <v>3</v>
      </c>
      <c r="H251" s="5">
        <f ca="1">IFERROR(__xludf.DUMMYFUNCTION("""COMPUTED_VALUE"""),0)</f>
        <v>0</v>
      </c>
      <c r="I251" s="5">
        <f ca="1">IFERROR(__xludf.DUMMYFUNCTION("""COMPUTED_VALUE"""),0)</f>
        <v>0</v>
      </c>
      <c r="J251" s="5">
        <f ca="1">IFERROR(__xludf.DUMMYFUNCTION("""COMPUTED_VALUE"""),1)</f>
        <v>1</v>
      </c>
      <c r="K251" s="5">
        <f ca="1">IFERROR(__xludf.DUMMYFUNCTION("""COMPUTED_VALUE"""),0)</f>
        <v>0</v>
      </c>
      <c r="L251" s="5">
        <f ca="1">IFERROR(__xludf.DUMMYFUNCTION("""COMPUTED_VALUE"""),1)</f>
        <v>1</v>
      </c>
      <c r="M251">
        <f ca="1">IFERROR(__xludf.DUMMYFUNCTION("""COMPUTED_VALUE"""),5)</f>
        <v>5</v>
      </c>
      <c r="N251" s="8"/>
    </row>
    <row r="252" spans="1:14" ht="12.45" hidden="1">
      <c r="A252" t="str">
        <f ca="1">IFERROR(__xludf.DUMMYFUNCTION("""COMPUTED_VALUE"""),"V-1-368")</f>
        <v>V-1-368</v>
      </c>
      <c r="B252" t="str">
        <f ca="1">IFERROR(__xludf.DUMMYFUNCTION("""COMPUTED_VALUE"""),"Обинякин")</f>
        <v>Обинякин</v>
      </c>
      <c r="C252" t="str">
        <f ca="1">IFERROR(__xludf.DUMMYFUNCTION("""COMPUTED_VALUE"""),"Виталий")</f>
        <v>Виталий</v>
      </c>
      <c r="D252" t="str">
        <f ca="1">IFERROR(__xludf.DUMMYFUNCTION("""COMPUTED_VALUE"""),"Школа 407")</f>
        <v>Школа 407</v>
      </c>
      <c r="E252" s="5">
        <f ca="1">IFERROR(__xludf.DUMMYFUNCTION("""COMPUTED_VALUE"""),2)</f>
        <v>2</v>
      </c>
      <c r="F252" s="5"/>
      <c r="G252" s="5">
        <f ca="1">IFERROR(__xludf.DUMMYFUNCTION("""COMPUTED_VALUE"""),3)</f>
        <v>3</v>
      </c>
      <c r="H252" s="5">
        <f ca="1">IFERROR(__xludf.DUMMYFUNCTION("""COMPUTED_VALUE"""),0)</f>
        <v>0</v>
      </c>
      <c r="I252" s="5">
        <f ca="1">IFERROR(__xludf.DUMMYFUNCTION("""COMPUTED_VALUE"""),0)</f>
        <v>0</v>
      </c>
      <c r="J252" s="5">
        <f ca="1">IFERROR(__xludf.DUMMYFUNCTION("""COMPUTED_VALUE"""),0)</f>
        <v>0</v>
      </c>
      <c r="K252" s="5">
        <f ca="1">IFERROR(__xludf.DUMMYFUNCTION("""COMPUTED_VALUE"""),0)</f>
        <v>0</v>
      </c>
      <c r="L252" s="5">
        <f ca="1">IFERROR(__xludf.DUMMYFUNCTION("""COMPUTED_VALUE"""),0)</f>
        <v>0</v>
      </c>
      <c r="M252">
        <f ca="1">IFERROR(__xludf.DUMMYFUNCTION("""COMPUTED_VALUE"""),5)</f>
        <v>5</v>
      </c>
      <c r="N252" s="8"/>
    </row>
    <row r="253" spans="1:14" ht="12.45" hidden="1">
      <c r="A253" t="str">
        <f ca="1">IFERROR(__xludf.DUMMYFUNCTION("""COMPUTED_VALUE"""),"III-1-127")</f>
        <v>III-1-127</v>
      </c>
      <c r="B253" t="str">
        <f ca="1">IFERROR(__xludf.DUMMYFUNCTION("""COMPUTED_VALUE"""),"Глазков")</f>
        <v>Глазков</v>
      </c>
      <c r="C253" t="str">
        <f ca="1">IFERROR(__xludf.DUMMYFUNCTION("""COMPUTED_VALUE"""),"Арсений")</f>
        <v>Арсений</v>
      </c>
      <c r="D253" t="str">
        <f ca="1">IFERROR(__xludf.DUMMYFUNCTION("""COMPUTED_VALUE"""),"Гимназия 524")</f>
        <v>Гимназия 524</v>
      </c>
      <c r="E253" s="5">
        <f ca="1">IFERROR(__xludf.DUMMYFUNCTION("""COMPUTED_VALUE"""),0)</f>
        <v>0</v>
      </c>
      <c r="F253" s="5">
        <f ca="1">IFERROR(__xludf.DUMMYFUNCTION("""COMPUTED_VALUE"""),0)</f>
        <v>0</v>
      </c>
      <c r="G253" s="5">
        <f ca="1">IFERROR(__xludf.DUMMYFUNCTION("""COMPUTED_VALUE"""),3)</f>
        <v>3</v>
      </c>
      <c r="H253" s="5">
        <f ca="1">IFERROR(__xludf.DUMMYFUNCTION("""COMPUTED_VALUE"""),0)</f>
        <v>0</v>
      </c>
      <c r="I253" s="5">
        <f ca="1">IFERROR(__xludf.DUMMYFUNCTION("""COMPUTED_VALUE"""),2)</f>
        <v>2</v>
      </c>
      <c r="J253" s="5">
        <f ca="1">IFERROR(__xludf.DUMMYFUNCTION("""COMPUTED_VALUE"""),0)</f>
        <v>0</v>
      </c>
      <c r="K253" s="5">
        <f ca="1">IFERROR(__xludf.DUMMYFUNCTION("""COMPUTED_VALUE"""),0)</f>
        <v>0</v>
      </c>
      <c r="L253" s="5">
        <f ca="1">IFERROR(__xludf.DUMMYFUNCTION("""COMPUTED_VALUE"""),0)</f>
        <v>0</v>
      </c>
      <c r="M253">
        <f ca="1">IFERROR(__xludf.DUMMYFUNCTION("""COMPUTED_VALUE"""),5)</f>
        <v>5</v>
      </c>
      <c r="N253" s="8"/>
    </row>
    <row r="254" spans="1:14" ht="12.45" hidden="1">
      <c r="A254" t="str">
        <f ca="1">IFERROR(__xludf.DUMMYFUNCTION("""COMPUTED_VALUE"""),"V-1-477")</f>
        <v>V-1-477</v>
      </c>
      <c r="B254" t="str">
        <f ca="1">IFERROR(__xludf.DUMMYFUNCTION("""COMPUTED_VALUE"""),"Смирнов")</f>
        <v>Смирнов</v>
      </c>
      <c r="C254" t="str">
        <f ca="1">IFERROR(__xludf.DUMMYFUNCTION("""COMPUTED_VALUE"""),"Иван")</f>
        <v>Иван</v>
      </c>
      <c r="D254" t="str">
        <f ca="1">IFERROR(__xludf.DUMMYFUNCTION("""COMPUTED_VALUE"""),"Лицей 101")</f>
        <v>Лицей 101</v>
      </c>
      <c r="E254" s="5">
        <f ca="1">IFERROR(__xludf.DUMMYFUNCTION("""COMPUTED_VALUE"""),2)</f>
        <v>2</v>
      </c>
      <c r="F254" s="5"/>
      <c r="G254" s="5">
        <f ca="1">IFERROR(__xludf.DUMMYFUNCTION("""COMPUTED_VALUE"""),3)</f>
        <v>3</v>
      </c>
      <c r="H254" s="5">
        <f ca="1">IFERROR(__xludf.DUMMYFUNCTION("""COMPUTED_VALUE"""),0)</f>
        <v>0</v>
      </c>
      <c r="I254" s="5">
        <f ca="1">IFERROR(__xludf.DUMMYFUNCTION("""COMPUTED_VALUE"""),0)</f>
        <v>0</v>
      </c>
      <c r="J254" s="5">
        <f ca="1">IFERROR(__xludf.DUMMYFUNCTION("""COMPUTED_VALUE"""),0)</f>
        <v>0</v>
      </c>
      <c r="K254" s="5">
        <f ca="1">IFERROR(__xludf.DUMMYFUNCTION("""COMPUTED_VALUE"""),0)</f>
        <v>0</v>
      </c>
      <c r="L254" s="5">
        <f ca="1">IFERROR(__xludf.DUMMYFUNCTION("""COMPUTED_VALUE"""),0)</f>
        <v>0</v>
      </c>
      <c r="M254">
        <f ca="1">IFERROR(__xludf.DUMMYFUNCTION("""COMPUTED_VALUE"""),5)</f>
        <v>5</v>
      </c>
      <c r="N254" s="8"/>
    </row>
    <row r="255" spans="1:14" ht="12.45" hidden="1">
      <c r="A255" t="str">
        <f ca="1">IFERROR(__xludf.DUMMYFUNCTION("""COMPUTED_VALUE"""),"V-1-320")</f>
        <v>V-1-320</v>
      </c>
      <c r="B255" t="str">
        <f ca="1">IFERROR(__xludf.DUMMYFUNCTION("""COMPUTED_VALUE"""),"Мелехова")</f>
        <v>Мелехова</v>
      </c>
      <c r="C255" t="str">
        <f ca="1">IFERROR(__xludf.DUMMYFUNCTION("""COMPUTED_VALUE"""),"Варвара")</f>
        <v>Варвара</v>
      </c>
      <c r="D255" t="str">
        <f ca="1">IFERROR(__xludf.DUMMYFUNCTION("""COMPUTED_VALUE"""),"Школа 593")</f>
        <v>Школа 593</v>
      </c>
      <c r="E255" s="5">
        <f ca="1">IFERROR(__xludf.DUMMYFUNCTION("""COMPUTED_VALUE"""),2)</f>
        <v>2</v>
      </c>
      <c r="F255" s="5">
        <f ca="1">IFERROR(__xludf.DUMMYFUNCTION("""COMPUTED_VALUE"""),0)</f>
        <v>0</v>
      </c>
      <c r="G255" s="5">
        <f ca="1">IFERROR(__xludf.DUMMYFUNCTION("""COMPUTED_VALUE"""),3)</f>
        <v>3</v>
      </c>
      <c r="H255" s="5">
        <f ca="1">IFERROR(__xludf.DUMMYFUNCTION("""COMPUTED_VALUE"""),0)</f>
        <v>0</v>
      </c>
      <c r="I255" s="5">
        <f ca="1">IFERROR(__xludf.DUMMYFUNCTION("""COMPUTED_VALUE"""),0)</f>
        <v>0</v>
      </c>
      <c r="J255" s="5">
        <f ca="1">IFERROR(__xludf.DUMMYFUNCTION("""COMPUTED_VALUE"""),0)</f>
        <v>0</v>
      </c>
      <c r="K255" s="5">
        <f ca="1">IFERROR(__xludf.DUMMYFUNCTION("""COMPUTED_VALUE"""),0)</f>
        <v>0</v>
      </c>
      <c r="L255" s="5">
        <f ca="1">IFERROR(__xludf.DUMMYFUNCTION("""COMPUTED_VALUE"""),0)</f>
        <v>0</v>
      </c>
      <c r="M255">
        <f ca="1">IFERROR(__xludf.DUMMYFUNCTION("""COMPUTED_VALUE"""),5)</f>
        <v>5</v>
      </c>
      <c r="N255" s="8"/>
    </row>
    <row r="256" spans="1:14" ht="12.45" hidden="1">
      <c r="A256" t="str">
        <f ca="1">IFERROR(__xludf.DUMMYFUNCTION("""COMPUTED_VALUE"""),"III-1-292")</f>
        <v>III-1-292</v>
      </c>
      <c r="B256" t="str">
        <f ca="1">IFERROR(__xludf.DUMMYFUNCTION("""COMPUTED_VALUE"""),"Ливергант")</f>
        <v>Ливергант</v>
      </c>
      <c r="C256" t="str">
        <f ca="1">IFERROR(__xludf.DUMMYFUNCTION("""COMPUTED_VALUE"""),"Диана")</f>
        <v>Диана</v>
      </c>
      <c r="D256" t="str">
        <f ca="1">IFERROR(__xludf.DUMMYFUNCTION("""COMPUTED_VALUE"""),"Гимназия 642")</f>
        <v>Гимназия 642</v>
      </c>
      <c r="E256" s="5">
        <f ca="1">IFERROR(__xludf.DUMMYFUNCTION("""COMPUTED_VALUE"""),0)</f>
        <v>0</v>
      </c>
      <c r="F256" s="5">
        <f ca="1">IFERROR(__xludf.DUMMYFUNCTION("""COMPUTED_VALUE"""),0)</f>
        <v>0</v>
      </c>
      <c r="G256" s="5">
        <f ca="1">IFERROR(__xludf.DUMMYFUNCTION("""COMPUTED_VALUE"""),3)</f>
        <v>3</v>
      </c>
      <c r="H256" s="5">
        <f ca="1">IFERROR(__xludf.DUMMYFUNCTION("""COMPUTED_VALUE"""),1)</f>
        <v>1</v>
      </c>
      <c r="I256" s="5">
        <f ca="1">IFERROR(__xludf.DUMMYFUNCTION("""COMPUTED_VALUE"""),0)</f>
        <v>0</v>
      </c>
      <c r="J256" s="5">
        <f ca="1">IFERROR(__xludf.DUMMYFUNCTION("""COMPUTED_VALUE"""),0)</f>
        <v>0</v>
      </c>
      <c r="K256" s="5">
        <f ca="1">IFERROR(__xludf.DUMMYFUNCTION("""COMPUTED_VALUE"""),0)</f>
        <v>0</v>
      </c>
      <c r="L256" s="5">
        <f ca="1">IFERROR(__xludf.DUMMYFUNCTION("""COMPUTED_VALUE"""),1)</f>
        <v>1</v>
      </c>
      <c r="M256">
        <f ca="1">IFERROR(__xludf.DUMMYFUNCTION("""COMPUTED_VALUE"""),5)</f>
        <v>5</v>
      </c>
      <c r="N256" s="8"/>
    </row>
    <row r="257" spans="1:14" ht="12.45" hidden="1">
      <c r="A257" t="str">
        <f ca="1">IFERROR(__xludf.DUMMYFUNCTION("""COMPUTED_VALUE"""),"V-1-374")</f>
        <v>V-1-374</v>
      </c>
      <c r="B257" t="str">
        <f ca="1">IFERROR(__xludf.DUMMYFUNCTION("""COMPUTED_VALUE"""),"Ольвовская")</f>
        <v>Ольвовская</v>
      </c>
      <c r="C257" t="str">
        <f ca="1">IFERROR(__xludf.DUMMYFUNCTION("""COMPUTED_VALUE"""),"Софья")</f>
        <v>Софья</v>
      </c>
      <c r="D257" t="str">
        <f ca="1">IFERROR(__xludf.DUMMYFUNCTION("""COMPUTED_VALUE"""),"Лицей 366")</f>
        <v>Лицей 366</v>
      </c>
      <c r="E257" s="5">
        <f ca="1">IFERROR(__xludf.DUMMYFUNCTION("""COMPUTED_VALUE"""),2)</f>
        <v>2</v>
      </c>
      <c r="F257" s="5">
        <f ca="1">IFERROR(__xludf.DUMMYFUNCTION("""COMPUTED_VALUE"""),0)</f>
        <v>0</v>
      </c>
      <c r="G257" s="5">
        <f ca="1">IFERROR(__xludf.DUMMYFUNCTION("""COMPUTED_VALUE"""),3)</f>
        <v>3</v>
      </c>
      <c r="H257" s="5"/>
      <c r="I257" s="5">
        <f ca="1">IFERROR(__xludf.DUMMYFUNCTION("""COMPUTED_VALUE"""),0)</f>
        <v>0</v>
      </c>
      <c r="J257" s="5"/>
      <c r="K257" s="5"/>
      <c r="L257" s="5">
        <f ca="1">IFERROR(__xludf.DUMMYFUNCTION("""COMPUTED_VALUE"""),0)</f>
        <v>0</v>
      </c>
      <c r="M257">
        <f ca="1">IFERROR(__xludf.DUMMYFUNCTION("""COMPUTED_VALUE"""),5)</f>
        <v>5</v>
      </c>
      <c r="N257" s="8"/>
    </row>
    <row r="258" spans="1:14" ht="12.45" hidden="1">
      <c r="A258" t="str">
        <f ca="1">IFERROR(__xludf.DUMMYFUNCTION("""COMPUTED_VALUE"""),"V-1-387")</f>
        <v>V-1-387</v>
      </c>
      <c r="B258" t="str">
        <f ca="1">IFERROR(__xludf.DUMMYFUNCTION("""COMPUTED_VALUE"""),"Парамашкин")</f>
        <v>Парамашкин</v>
      </c>
      <c r="C258" t="str">
        <f ca="1">IFERROR(__xludf.DUMMYFUNCTION("""COMPUTED_VALUE"""),"Михаил")</f>
        <v>Михаил</v>
      </c>
      <c r="D258" t="str">
        <f ca="1">IFERROR(__xludf.DUMMYFUNCTION("""COMPUTED_VALUE"""),"Лицей 378")</f>
        <v>Лицей 378</v>
      </c>
      <c r="E258" s="5">
        <f ca="1">IFERROR(__xludf.DUMMYFUNCTION("""COMPUTED_VALUE"""),1)</f>
        <v>1</v>
      </c>
      <c r="F258" s="5">
        <f ca="1">IFERROR(__xludf.DUMMYFUNCTION("""COMPUTED_VALUE"""),0)</f>
        <v>0</v>
      </c>
      <c r="G258" s="5">
        <f ca="1">IFERROR(__xludf.DUMMYFUNCTION("""COMPUTED_VALUE"""),3)</f>
        <v>3</v>
      </c>
      <c r="H258" s="5">
        <f ca="1">IFERROR(__xludf.DUMMYFUNCTION("""COMPUTED_VALUE"""),0)</f>
        <v>0</v>
      </c>
      <c r="I258" s="5">
        <f ca="1">IFERROR(__xludf.DUMMYFUNCTION("""COMPUTED_VALUE"""),0)</f>
        <v>0</v>
      </c>
      <c r="J258" s="5">
        <f ca="1">IFERROR(__xludf.DUMMYFUNCTION("""COMPUTED_VALUE"""),0)</f>
        <v>0</v>
      </c>
      <c r="K258" s="5">
        <f ca="1">IFERROR(__xludf.DUMMYFUNCTION("""COMPUTED_VALUE"""),0)</f>
        <v>0</v>
      </c>
      <c r="L258" s="5">
        <f ca="1">IFERROR(__xludf.DUMMYFUNCTION("""COMPUTED_VALUE"""),1)</f>
        <v>1</v>
      </c>
      <c r="M258">
        <f ca="1">IFERROR(__xludf.DUMMYFUNCTION("""COMPUTED_VALUE"""),5)</f>
        <v>5</v>
      </c>
      <c r="N258" s="8"/>
    </row>
    <row r="259" spans="1:14" ht="12.45" hidden="1">
      <c r="A259" t="str">
        <f ca="1">IFERROR(__xludf.DUMMYFUNCTION("""COMPUTED_VALUE"""),"III-1-219")</f>
        <v>III-1-219</v>
      </c>
      <c r="B259" t="str">
        <f ca="1">IFERROR(__xludf.DUMMYFUNCTION("""COMPUTED_VALUE"""),"Каретникова")</f>
        <v>Каретникова</v>
      </c>
      <c r="C259" t="str">
        <f ca="1">IFERROR(__xludf.DUMMYFUNCTION("""COMPUTED_VALUE"""),"Алиса")</f>
        <v>Алиса</v>
      </c>
      <c r="D259" t="str">
        <f ca="1">IFERROR(__xludf.DUMMYFUNCTION("""COMPUTED_VALUE"""),"Школа Новодевяткинская школа 1")</f>
        <v>Школа Новодевяткинская школа 1</v>
      </c>
      <c r="E259" s="5">
        <f ca="1">IFERROR(__xludf.DUMMYFUNCTION("""COMPUTED_VALUE"""),1)</f>
        <v>1</v>
      </c>
      <c r="F259" s="5">
        <f ca="1">IFERROR(__xludf.DUMMYFUNCTION("""COMPUTED_VALUE"""),0)</f>
        <v>0</v>
      </c>
      <c r="G259" s="5">
        <f ca="1">IFERROR(__xludf.DUMMYFUNCTION("""COMPUTED_VALUE"""),3)</f>
        <v>3</v>
      </c>
      <c r="H259" s="5">
        <f ca="1">IFERROR(__xludf.DUMMYFUNCTION("""COMPUTED_VALUE"""),0)</f>
        <v>0</v>
      </c>
      <c r="I259" s="5">
        <f ca="1">IFERROR(__xludf.DUMMYFUNCTION("""COMPUTED_VALUE"""),0)</f>
        <v>0</v>
      </c>
      <c r="J259" s="5">
        <f ca="1">IFERROR(__xludf.DUMMYFUNCTION("""COMPUTED_VALUE"""),0)</f>
        <v>0</v>
      </c>
      <c r="K259" s="5">
        <f ca="1">IFERROR(__xludf.DUMMYFUNCTION("""COMPUTED_VALUE"""),0)</f>
        <v>0</v>
      </c>
      <c r="L259" s="5">
        <f ca="1">IFERROR(__xludf.DUMMYFUNCTION("""COMPUTED_VALUE"""),1)</f>
        <v>1</v>
      </c>
      <c r="M259">
        <f ca="1">IFERROR(__xludf.DUMMYFUNCTION("""COMPUTED_VALUE"""),5)</f>
        <v>5</v>
      </c>
      <c r="N259" s="8"/>
    </row>
    <row r="260" spans="1:14" ht="12.45" hidden="1">
      <c r="A260" t="str">
        <f ca="1">IFERROR(__xludf.DUMMYFUNCTION("""COMPUTED_VALUE"""),"V-1-414")</f>
        <v>V-1-414</v>
      </c>
      <c r="B260" t="str">
        <f ca="1">IFERROR(__xludf.DUMMYFUNCTION("""COMPUTED_VALUE"""),"Полянский")</f>
        <v>Полянский</v>
      </c>
      <c r="C260" t="str">
        <f ca="1">IFERROR(__xludf.DUMMYFUNCTION("""COMPUTED_VALUE"""),"Ярослав")</f>
        <v>Ярослав</v>
      </c>
      <c r="D260" t="str">
        <f ca="1">IFERROR(__xludf.DUMMYFUNCTION("""COMPUTED_VALUE"""),"Школа 508")</f>
        <v>Школа 508</v>
      </c>
      <c r="E260" s="5">
        <f ca="1">IFERROR(__xludf.DUMMYFUNCTION("""COMPUTED_VALUE"""),0)</f>
        <v>0</v>
      </c>
      <c r="F260" s="5">
        <f ca="1">IFERROR(__xludf.DUMMYFUNCTION("""COMPUTED_VALUE"""),0)</f>
        <v>0</v>
      </c>
      <c r="G260" s="5">
        <f ca="1">IFERROR(__xludf.DUMMYFUNCTION("""COMPUTED_VALUE"""),0)</f>
        <v>0</v>
      </c>
      <c r="H260" s="5">
        <f ca="1">IFERROR(__xludf.DUMMYFUNCTION("""COMPUTED_VALUE"""),0)</f>
        <v>0</v>
      </c>
      <c r="I260" s="5">
        <f ca="1">IFERROR(__xludf.DUMMYFUNCTION("""COMPUTED_VALUE"""),0)</f>
        <v>0</v>
      </c>
      <c r="J260" s="5">
        <f ca="1">IFERROR(__xludf.DUMMYFUNCTION("""COMPUTED_VALUE"""),4)</f>
        <v>4</v>
      </c>
      <c r="K260" s="5">
        <f ca="1">IFERROR(__xludf.DUMMYFUNCTION("""COMPUTED_VALUE"""),0)</f>
        <v>0</v>
      </c>
      <c r="L260" s="5">
        <f ca="1">IFERROR(__xludf.DUMMYFUNCTION("""COMPUTED_VALUE"""),1)</f>
        <v>1</v>
      </c>
      <c r="M260">
        <f ca="1">IFERROR(__xludf.DUMMYFUNCTION("""COMPUTED_VALUE"""),5)</f>
        <v>5</v>
      </c>
      <c r="N260" s="8"/>
    </row>
    <row r="261" spans="1:14" ht="12.45" hidden="1">
      <c r="A261" t="str">
        <f ca="1">IFERROR(__xludf.DUMMYFUNCTION("""COMPUTED_VALUE"""),"III-1-202")</f>
        <v>III-1-202</v>
      </c>
      <c r="B261" t="str">
        <f ca="1">IFERROR(__xludf.DUMMYFUNCTION("""COMPUTED_VALUE"""),"Иванов")</f>
        <v>Иванов</v>
      </c>
      <c r="C261" t="str">
        <f ca="1">IFERROR(__xludf.DUMMYFUNCTION("""COMPUTED_VALUE"""),"Андрей")</f>
        <v>Андрей</v>
      </c>
      <c r="D261" t="str">
        <f ca="1">IFERROR(__xludf.DUMMYFUNCTION("""COMPUTED_VALUE"""),"Школа 80")</f>
        <v>Школа 80</v>
      </c>
      <c r="E261" s="5">
        <f ca="1">IFERROR(__xludf.DUMMYFUNCTION("""COMPUTED_VALUE"""),1)</f>
        <v>1</v>
      </c>
      <c r="F261" s="5">
        <f ca="1">IFERROR(__xludf.DUMMYFUNCTION("""COMPUTED_VALUE"""),0)</f>
        <v>0</v>
      </c>
      <c r="G261" s="5">
        <f ca="1">IFERROR(__xludf.DUMMYFUNCTION("""COMPUTED_VALUE"""),3)</f>
        <v>3</v>
      </c>
      <c r="H261" s="5">
        <f ca="1">IFERROR(__xludf.DUMMYFUNCTION("""COMPUTED_VALUE"""),0)</f>
        <v>0</v>
      </c>
      <c r="I261" s="5">
        <f ca="1">IFERROR(__xludf.DUMMYFUNCTION("""COMPUTED_VALUE"""),0)</f>
        <v>0</v>
      </c>
      <c r="J261" s="5">
        <f ca="1">IFERROR(__xludf.DUMMYFUNCTION("""COMPUTED_VALUE"""),0)</f>
        <v>0</v>
      </c>
      <c r="K261" s="5">
        <f ca="1">IFERROR(__xludf.DUMMYFUNCTION("""COMPUTED_VALUE"""),0)</f>
        <v>0</v>
      </c>
      <c r="L261" s="5">
        <f ca="1">IFERROR(__xludf.DUMMYFUNCTION("""COMPUTED_VALUE"""),1)</f>
        <v>1</v>
      </c>
      <c r="M261">
        <f ca="1">IFERROR(__xludf.DUMMYFUNCTION("""COMPUTED_VALUE"""),5)</f>
        <v>5</v>
      </c>
      <c r="N261" s="8"/>
    </row>
    <row r="262" spans="1:14" ht="12.45" hidden="1">
      <c r="A262" t="str">
        <f ca="1">IFERROR(__xludf.DUMMYFUNCTION("""COMPUTED_VALUE"""),"V-1-405")</f>
        <v>V-1-405</v>
      </c>
      <c r="B262" t="str">
        <f ca="1">IFERROR(__xludf.DUMMYFUNCTION("""COMPUTED_VALUE"""),"Плохих")</f>
        <v>Плохих</v>
      </c>
      <c r="C262" t="str">
        <f ca="1">IFERROR(__xludf.DUMMYFUNCTION("""COMPUTED_VALUE"""),"Анастасия")</f>
        <v>Анастасия</v>
      </c>
      <c r="D262" t="str">
        <f ca="1">IFERROR(__xludf.DUMMYFUNCTION("""COMPUTED_VALUE"""),"Школа 123")</f>
        <v>Школа 123</v>
      </c>
      <c r="E262" s="5">
        <f ca="1">IFERROR(__xludf.DUMMYFUNCTION("""COMPUTED_VALUE"""),2)</f>
        <v>2</v>
      </c>
      <c r="F262" s="5"/>
      <c r="G262" s="5">
        <f ca="1">IFERROR(__xludf.DUMMYFUNCTION("""COMPUTED_VALUE"""),3)</f>
        <v>3</v>
      </c>
      <c r="H262" s="5"/>
      <c r="I262" s="5"/>
      <c r="J262" s="5">
        <f ca="1">IFERROR(__xludf.DUMMYFUNCTION("""COMPUTED_VALUE"""),0)</f>
        <v>0</v>
      </c>
      <c r="K262" s="5"/>
      <c r="L262" s="5"/>
      <c r="M262">
        <f ca="1">IFERROR(__xludf.DUMMYFUNCTION("""COMPUTED_VALUE"""),5)</f>
        <v>5</v>
      </c>
      <c r="N262" s="8"/>
    </row>
    <row r="263" spans="1:14" ht="12.45" hidden="1">
      <c r="A263" t="str">
        <f ca="1">IFERROR(__xludf.DUMMYFUNCTION("""COMPUTED_VALUE"""),"V-1-343")</f>
        <v>V-1-343</v>
      </c>
      <c r="B263" t="str">
        <f ca="1">IFERROR(__xludf.DUMMYFUNCTION("""COMPUTED_VALUE"""),"Мутина")</f>
        <v>Мутина</v>
      </c>
      <c r="C263" t="str">
        <f ca="1">IFERROR(__xludf.DUMMYFUNCTION("""COMPUTED_VALUE"""),"Евдокия")</f>
        <v>Евдокия</v>
      </c>
      <c r="D263" t="str">
        <f ca="1">IFERROR(__xludf.DUMMYFUNCTION("""COMPUTED_VALUE"""),"Гимназия 642")</f>
        <v>Гимназия 642</v>
      </c>
      <c r="E263" s="5">
        <f ca="1">IFERROR(__xludf.DUMMYFUNCTION("""COMPUTED_VALUE"""),0)</f>
        <v>0</v>
      </c>
      <c r="F263" s="5">
        <f ca="1">IFERROR(__xludf.DUMMYFUNCTION("""COMPUTED_VALUE"""),0)</f>
        <v>0</v>
      </c>
      <c r="G263" s="5">
        <f ca="1">IFERROR(__xludf.DUMMYFUNCTION("""COMPUTED_VALUE"""),0)</f>
        <v>0</v>
      </c>
      <c r="H263" s="5">
        <f ca="1">IFERROR(__xludf.DUMMYFUNCTION("""COMPUTED_VALUE"""),0)</f>
        <v>0</v>
      </c>
      <c r="I263" s="5">
        <f ca="1">IFERROR(__xludf.DUMMYFUNCTION("""COMPUTED_VALUE"""),0)</f>
        <v>0</v>
      </c>
      <c r="J263" s="5">
        <f ca="1">IFERROR(__xludf.DUMMYFUNCTION("""COMPUTED_VALUE"""),4)</f>
        <v>4</v>
      </c>
      <c r="K263" s="5">
        <f ca="1">IFERROR(__xludf.DUMMYFUNCTION("""COMPUTED_VALUE"""),0)</f>
        <v>0</v>
      </c>
      <c r="L263" s="5">
        <f ca="1">IFERROR(__xludf.DUMMYFUNCTION("""COMPUTED_VALUE"""),1)</f>
        <v>1</v>
      </c>
      <c r="M263">
        <f ca="1">IFERROR(__xludf.DUMMYFUNCTION("""COMPUTED_VALUE"""),5)</f>
        <v>5</v>
      </c>
      <c r="N263" s="8"/>
    </row>
    <row r="264" spans="1:14" ht="12.45" hidden="1">
      <c r="A264" t="str">
        <f ca="1">IFERROR(__xludf.DUMMYFUNCTION("""COMPUTED_VALUE"""),"III-1-031")</f>
        <v>III-1-031</v>
      </c>
      <c r="B264" t="str">
        <f ca="1">IFERROR(__xludf.DUMMYFUNCTION("""COMPUTED_VALUE"""),"Асиновский")</f>
        <v>Асиновский</v>
      </c>
      <c r="C264" t="str">
        <f ca="1">IFERROR(__xludf.DUMMYFUNCTION("""COMPUTED_VALUE"""),"Артём")</f>
        <v>Артём</v>
      </c>
      <c r="D264" t="str">
        <f ca="1">IFERROR(__xludf.DUMMYFUNCTION("""COMPUTED_VALUE"""),"Школа 292")</f>
        <v>Школа 292</v>
      </c>
      <c r="E264" s="5">
        <f ca="1">IFERROR(__xludf.DUMMYFUNCTION("""COMPUTED_VALUE"""),2)</f>
        <v>2</v>
      </c>
      <c r="F264" s="5">
        <f ca="1">IFERROR(__xludf.DUMMYFUNCTION("""COMPUTED_VALUE"""),0)</f>
        <v>0</v>
      </c>
      <c r="G264" s="5">
        <f ca="1">IFERROR(__xludf.DUMMYFUNCTION("""COMPUTED_VALUE"""),3)</f>
        <v>3</v>
      </c>
      <c r="H264" s="5"/>
      <c r="I264" s="5">
        <f ca="1">IFERROR(__xludf.DUMMYFUNCTION("""COMPUTED_VALUE"""),0)</f>
        <v>0</v>
      </c>
      <c r="J264" s="5">
        <f ca="1">IFERROR(__xludf.DUMMYFUNCTION("""COMPUTED_VALUE"""),0)</f>
        <v>0</v>
      </c>
      <c r="K264" s="5"/>
      <c r="L264" s="5">
        <f ca="1">IFERROR(__xludf.DUMMYFUNCTION("""COMPUTED_VALUE"""),0)</f>
        <v>0</v>
      </c>
      <c r="M264">
        <f ca="1">IFERROR(__xludf.DUMMYFUNCTION("""COMPUTED_VALUE"""),5)</f>
        <v>5</v>
      </c>
      <c r="N264" s="8"/>
    </row>
    <row r="265" spans="1:14" ht="12.45" hidden="1">
      <c r="A265" t="str">
        <f ca="1">IFERROR(__xludf.DUMMYFUNCTION("""COMPUTED_VALUE"""),"V-1-440")</f>
        <v>V-1-440</v>
      </c>
      <c r="B265" t="str">
        <f ca="1">IFERROR(__xludf.DUMMYFUNCTION("""COMPUTED_VALUE"""),"Родионов")</f>
        <v>Родионов</v>
      </c>
      <c r="C265" t="str">
        <f ca="1">IFERROR(__xludf.DUMMYFUNCTION("""COMPUTED_VALUE"""),"Владимир")</f>
        <v>Владимир</v>
      </c>
      <c r="D265" t="str">
        <f ca="1">IFERROR(__xludf.DUMMYFUNCTION("""COMPUTED_VALUE"""),"Школа 77")</f>
        <v>Школа 77</v>
      </c>
      <c r="E265" s="5">
        <f ca="1">IFERROR(__xludf.DUMMYFUNCTION("""COMPUTED_VALUE"""),2)</f>
        <v>2</v>
      </c>
      <c r="F265" s="5">
        <f ca="1">IFERROR(__xludf.DUMMYFUNCTION("""COMPUTED_VALUE"""),0)</f>
        <v>0</v>
      </c>
      <c r="G265" s="5">
        <f ca="1">IFERROR(__xludf.DUMMYFUNCTION("""COMPUTED_VALUE"""),3)</f>
        <v>3</v>
      </c>
      <c r="H265" s="5">
        <f ca="1">IFERROR(__xludf.DUMMYFUNCTION("""COMPUTED_VALUE"""),0)</f>
        <v>0</v>
      </c>
      <c r="I265" s="5"/>
      <c r="J265" s="5"/>
      <c r="K265" s="5">
        <f ca="1">IFERROR(__xludf.DUMMYFUNCTION("""COMPUTED_VALUE"""),0)</f>
        <v>0</v>
      </c>
      <c r="L265" s="5">
        <f ca="1">IFERROR(__xludf.DUMMYFUNCTION("""COMPUTED_VALUE"""),0)</f>
        <v>0</v>
      </c>
      <c r="M265">
        <f ca="1">IFERROR(__xludf.DUMMYFUNCTION("""COMPUTED_VALUE"""),5)</f>
        <v>5</v>
      </c>
      <c r="N265" s="8"/>
    </row>
    <row r="266" spans="1:14" ht="12.45" hidden="1">
      <c r="A266" t="str">
        <f ca="1">IFERROR(__xludf.DUMMYFUNCTION("""COMPUTED_VALUE"""),"V-1-470")</f>
        <v>V-1-470</v>
      </c>
      <c r="B266" t="str">
        <f ca="1">IFERROR(__xludf.DUMMYFUNCTION("""COMPUTED_VALUE"""),"Сидоров")</f>
        <v>Сидоров</v>
      </c>
      <c r="C266" t="str">
        <f ca="1">IFERROR(__xludf.DUMMYFUNCTION("""COMPUTED_VALUE"""),"Игорь")</f>
        <v>Игорь</v>
      </c>
      <c r="D266" t="str">
        <f ca="1">IFERROR(__xludf.DUMMYFUNCTION("""COMPUTED_VALUE"""),"Школа 598")</f>
        <v>Школа 598</v>
      </c>
      <c r="E266" s="5">
        <f ca="1">IFERROR(__xludf.DUMMYFUNCTION("""COMPUTED_VALUE"""),1)</f>
        <v>1</v>
      </c>
      <c r="F266" s="5">
        <f ca="1">IFERROR(__xludf.DUMMYFUNCTION("""COMPUTED_VALUE"""),0)</f>
        <v>0</v>
      </c>
      <c r="G266" s="5">
        <f ca="1">IFERROR(__xludf.DUMMYFUNCTION("""COMPUTED_VALUE"""),3)</f>
        <v>3</v>
      </c>
      <c r="H266" s="5">
        <f ca="1">IFERROR(__xludf.DUMMYFUNCTION("""COMPUTED_VALUE"""),0)</f>
        <v>0</v>
      </c>
      <c r="I266" s="5">
        <f ca="1">IFERROR(__xludf.DUMMYFUNCTION("""COMPUTED_VALUE"""),1)</f>
        <v>1</v>
      </c>
      <c r="J266" s="5">
        <f ca="1">IFERROR(__xludf.DUMMYFUNCTION("""COMPUTED_VALUE"""),0)</f>
        <v>0</v>
      </c>
      <c r="K266" s="5">
        <f ca="1">IFERROR(__xludf.DUMMYFUNCTION("""COMPUTED_VALUE"""),0)</f>
        <v>0</v>
      </c>
      <c r="L266" s="5"/>
      <c r="M266">
        <f ca="1">IFERROR(__xludf.DUMMYFUNCTION("""COMPUTED_VALUE"""),5)</f>
        <v>5</v>
      </c>
      <c r="N266" s="8"/>
    </row>
    <row r="267" spans="1:14" ht="12.45" hidden="1">
      <c r="A267" t="str">
        <f ca="1">IFERROR(__xludf.DUMMYFUNCTION("""COMPUTED_VALUE"""),"III-1-034")</f>
        <v>III-1-034</v>
      </c>
      <c r="B267" t="str">
        <f ca="1">IFERROR(__xludf.DUMMYFUNCTION("""COMPUTED_VALUE"""),"Афонская")</f>
        <v>Афонская</v>
      </c>
      <c r="C267" t="str">
        <f ca="1">IFERROR(__xludf.DUMMYFUNCTION("""COMPUTED_VALUE"""),"Злата")</f>
        <v>Злата</v>
      </c>
      <c r="D267" t="str">
        <f ca="1">IFERROR(__xludf.DUMMYFUNCTION("""COMPUTED_VALUE"""),"Школа 557")</f>
        <v>Школа 557</v>
      </c>
      <c r="E267" s="5">
        <f ca="1">IFERROR(__xludf.DUMMYFUNCTION("""COMPUTED_VALUE"""),0)</f>
        <v>0</v>
      </c>
      <c r="F267" s="5"/>
      <c r="G267" s="5">
        <f ca="1">IFERROR(__xludf.DUMMYFUNCTION("""COMPUTED_VALUE"""),3)</f>
        <v>3</v>
      </c>
      <c r="H267" s="5">
        <f ca="1">IFERROR(__xludf.DUMMYFUNCTION("""COMPUTED_VALUE"""),1)</f>
        <v>1</v>
      </c>
      <c r="I267" s="5">
        <f ca="1">IFERROR(__xludf.DUMMYFUNCTION("""COMPUTED_VALUE"""),0)</f>
        <v>0</v>
      </c>
      <c r="J267" s="5">
        <f ca="1">IFERROR(__xludf.DUMMYFUNCTION("""COMPUTED_VALUE"""),0)</f>
        <v>0</v>
      </c>
      <c r="K267" s="5">
        <f ca="1">IFERROR(__xludf.DUMMYFUNCTION("""COMPUTED_VALUE"""),0)</f>
        <v>0</v>
      </c>
      <c r="L267" s="5">
        <f ca="1">IFERROR(__xludf.DUMMYFUNCTION("""COMPUTED_VALUE"""),1)</f>
        <v>1</v>
      </c>
      <c r="M267">
        <f ca="1">IFERROR(__xludf.DUMMYFUNCTION("""COMPUTED_VALUE"""),5)</f>
        <v>5</v>
      </c>
      <c r="N267" s="8"/>
    </row>
    <row r="268" spans="1:14" ht="12.45" hidden="1">
      <c r="A268" t="str">
        <f ca="1">IFERROR(__xludf.DUMMYFUNCTION("""COMPUTED_VALUE"""),"III-1-084")</f>
        <v>III-1-084</v>
      </c>
      <c r="B268" t="str">
        <f ca="1">IFERROR(__xludf.DUMMYFUNCTION("""COMPUTED_VALUE"""),"Бутюгина")</f>
        <v>Бутюгина</v>
      </c>
      <c r="C268" t="str">
        <f ca="1">IFERROR(__xludf.DUMMYFUNCTION("""COMPUTED_VALUE"""),"Полина")</f>
        <v>Полина</v>
      </c>
      <c r="D268" t="str">
        <f ca="1">IFERROR(__xludf.DUMMYFUNCTION("""COMPUTED_VALUE"""),"Школа Школа 100")</f>
        <v>Школа Школа 100</v>
      </c>
      <c r="E268" s="5">
        <f ca="1">IFERROR(__xludf.DUMMYFUNCTION("""COMPUTED_VALUE"""),1)</f>
        <v>1</v>
      </c>
      <c r="F268" s="5">
        <f ca="1">IFERROR(__xludf.DUMMYFUNCTION("""COMPUTED_VALUE"""),0)</f>
        <v>0</v>
      </c>
      <c r="G268" s="5">
        <f ca="1">IFERROR(__xludf.DUMMYFUNCTION("""COMPUTED_VALUE"""),3)</f>
        <v>3</v>
      </c>
      <c r="H268" s="5">
        <f ca="1">IFERROR(__xludf.DUMMYFUNCTION("""COMPUTED_VALUE"""),0)</f>
        <v>0</v>
      </c>
      <c r="I268" s="5"/>
      <c r="J268" s="5">
        <f ca="1">IFERROR(__xludf.DUMMYFUNCTION("""COMPUTED_VALUE"""),0)</f>
        <v>0</v>
      </c>
      <c r="K268" s="5">
        <f ca="1">IFERROR(__xludf.DUMMYFUNCTION("""COMPUTED_VALUE"""),0)</f>
        <v>0</v>
      </c>
      <c r="L268" s="5">
        <f ca="1">IFERROR(__xludf.DUMMYFUNCTION("""COMPUTED_VALUE"""),1)</f>
        <v>1</v>
      </c>
      <c r="M268">
        <f ca="1">IFERROR(__xludf.DUMMYFUNCTION("""COMPUTED_VALUE"""),5)</f>
        <v>5</v>
      </c>
      <c r="N268" s="8"/>
    </row>
    <row r="269" spans="1:14" ht="12.45" hidden="1">
      <c r="A269" t="str">
        <f ca="1">IFERROR(__xludf.DUMMYFUNCTION("""COMPUTED_VALUE"""),"III-1-186")</f>
        <v>III-1-186</v>
      </c>
      <c r="B269" t="str">
        <f ca="1">IFERROR(__xludf.DUMMYFUNCTION("""COMPUTED_VALUE"""),"Зайцева")</f>
        <v>Зайцева</v>
      </c>
      <c r="C269" t="str">
        <f ca="1">IFERROR(__xludf.DUMMYFUNCTION("""COMPUTED_VALUE"""),"Анастасия")</f>
        <v>Анастасия</v>
      </c>
      <c r="D269" t="str">
        <f ca="1">IFERROR(__xludf.DUMMYFUNCTION("""COMPUTED_VALUE"""),"Школа 100")</f>
        <v>Школа 100</v>
      </c>
      <c r="E269" s="5">
        <f ca="1">IFERROR(__xludf.DUMMYFUNCTION("""COMPUTED_VALUE"""),1)</f>
        <v>1</v>
      </c>
      <c r="F269" s="5">
        <f ca="1">IFERROR(__xludf.DUMMYFUNCTION("""COMPUTED_VALUE"""),3)</f>
        <v>3</v>
      </c>
      <c r="G269" s="5">
        <f ca="1">IFERROR(__xludf.DUMMYFUNCTION("""COMPUTED_VALUE"""),0)</f>
        <v>0</v>
      </c>
      <c r="H269" s="5">
        <f ca="1">IFERROR(__xludf.DUMMYFUNCTION("""COMPUTED_VALUE"""),0)</f>
        <v>0</v>
      </c>
      <c r="I269" s="5"/>
      <c r="J269" s="5">
        <f ca="1">IFERROR(__xludf.DUMMYFUNCTION("""COMPUTED_VALUE"""),0)</f>
        <v>0</v>
      </c>
      <c r="K269" s="5">
        <f ca="1">IFERROR(__xludf.DUMMYFUNCTION("""COMPUTED_VALUE"""),0)</f>
        <v>0</v>
      </c>
      <c r="L269" s="5">
        <f ca="1">IFERROR(__xludf.DUMMYFUNCTION("""COMPUTED_VALUE"""),1)</f>
        <v>1</v>
      </c>
      <c r="M269">
        <f ca="1">IFERROR(__xludf.DUMMYFUNCTION("""COMPUTED_VALUE"""),5)</f>
        <v>5</v>
      </c>
      <c r="N269" s="8"/>
    </row>
    <row r="270" spans="1:14" ht="12.45" hidden="1">
      <c r="A270" t="str">
        <f ca="1">IFERROR(__xludf.DUMMYFUNCTION("""COMPUTED_VALUE"""),"III-1-231")</f>
        <v>III-1-231</v>
      </c>
      <c r="B270" t="str">
        <f ca="1">IFERROR(__xludf.DUMMYFUNCTION("""COMPUTED_VALUE"""),"Кистерная")</f>
        <v>Кистерная</v>
      </c>
      <c r="C270" t="str">
        <f ca="1">IFERROR(__xludf.DUMMYFUNCTION("""COMPUTED_VALUE"""),"Лада")</f>
        <v>Лада</v>
      </c>
      <c r="D270" t="str">
        <f ca="1">IFERROR(__xludf.DUMMYFUNCTION("""COMPUTED_VALUE"""),"Школа 100")</f>
        <v>Школа 100</v>
      </c>
      <c r="E270" s="5">
        <f ca="1">IFERROR(__xludf.DUMMYFUNCTION("""COMPUTED_VALUE"""),1)</f>
        <v>1</v>
      </c>
      <c r="F270" s="5">
        <f ca="1">IFERROR(__xludf.DUMMYFUNCTION("""COMPUTED_VALUE"""),0)</f>
        <v>0</v>
      </c>
      <c r="G270" s="5">
        <f ca="1">IFERROR(__xludf.DUMMYFUNCTION("""COMPUTED_VALUE"""),3)</f>
        <v>3</v>
      </c>
      <c r="H270" s="5"/>
      <c r="I270" s="5"/>
      <c r="J270" s="5"/>
      <c r="K270" s="5">
        <f ca="1">IFERROR(__xludf.DUMMYFUNCTION("""COMPUTED_VALUE"""),0)</f>
        <v>0</v>
      </c>
      <c r="L270" s="5">
        <f ca="1">IFERROR(__xludf.DUMMYFUNCTION("""COMPUTED_VALUE"""),1)</f>
        <v>1</v>
      </c>
      <c r="M270">
        <f ca="1">IFERROR(__xludf.DUMMYFUNCTION("""COMPUTED_VALUE"""),5)</f>
        <v>5</v>
      </c>
      <c r="N270" s="8"/>
    </row>
    <row r="271" spans="1:14" ht="12.45" hidden="1">
      <c r="A271" t="str">
        <f ca="1">IFERROR(__xludf.DUMMYFUNCTION("""COMPUTED_VALUE"""),"V-1-607")</f>
        <v>V-1-607</v>
      </c>
      <c r="B271" t="str">
        <f ca="1">IFERROR(__xludf.DUMMYFUNCTION("""COMPUTED_VALUE"""),"Щепанович")</f>
        <v>Щепанович</v>
      </c>
      <c r="C271" t="str">
        <f ca="1">IFERROR(__xludf.DUMMYFUNCTION("""COMPUTED_VALUE"""),"Илья")</f>
        <v>Илья</v>
      </c>
      <c r="D271" t="str">
        <f ca="1">IFERROR(__xludf.DUMMYFUNCTION("""COMPUTED_VALUE"""),"Школа 630")</f>
        <v>Школа 630</v>
      </c>
      <c r="E271" s="5">
        <f ca="1">IFERROR(__xludf.DUMMYFUNCTION("""COMPUTED_VALUE"""),0)</f>
        <v>0</v>
      </c>
      <c r="F271" s="5">
        <f ca="1">IFERROR(__xludf.DUMMYFUNCTION("""COMPUTED_VALUE"""),0)</f>
        <v>0</v>
      </c>
      <c r="G271" s="5">
        <f ca="1">IFERROR(__xludf.DUMMYFUNCTION("""COMPUTED_VALUE"""),3)</f>
        <v>3</v>
      </c>
      <c r="H271" s="5">
        <f ca="1">IFERROR(__xludf.DUMMYFUNCTION("""COMPUTED_VALUE"""),1)</f>
        <v>1</v>
      </c>
      <c r="I271" s="5">
        <f ca="1">IFERROR(__xludf.DUMMYFUNCTION("""COMPUTED_VALUE"""),0)</f>
        <v>0</v>
      </c>
      <c r="J271" s="5"/>
      <c r="K271" s="5">
        <f ca="1">IFERROR(__xludf.DUMMYFUNCTION("""COMPUTED_VALUE"""),0)</f>
        <v>0</v>
      </c>
      <c r="L271" s="5">
        <f ca="1">IFERROR(__xludf.DUMMYFUNCTION("""COMPUTED_VALUE"""),1)</f>
        <v>1</v>
      </c>
      <c r="M271">
        <f ca="1">IFERROR(__xludf.DUMMYFUNCTION("""COMPUTED_VALUE"""),5)</f>
        <v>5</v>
      </c>
      <c r="N271" s="8"/>
    </row>
    <row r="272" spans="1:14" ht="12.45" hidden="1">
      <c r="A272" t="str">
        <f ca="1">IFERROR(__xludf.DUMMYFUNCTION("""COMPUTED_VALUE"""),"III-1-132")</f>
        <v>III-1-132</v>
      </c>
      <c r="B272" t="str">
        <f ca="1">IFERROR(__xludf.DUMMYFUNCTION("""COMPUTED_VALUE"""),"Гольдштейн")</f>
        <v>Гольдштейн</v>
      </c>
      <c r="C272" t="str">
        <f ca="1">IFERROR(__xludf.DUMMYFUNCTION("""COMPUTED_VALUE"""),"Соломон")</f>
        <v>Соломон</v>
      </c>
      <c r="D272" t="str">
        <f ca="1">IFERROR(__xludf.DUMMYFUNCTION("""COMPUTED_VALUE"""),"Школа Англоамериканская школа")</f>
        <v>Школа Англоамериканская школа</v>
      </c>
      <c r="E272" s="5">
        <f ca="1">IFERROR(__xludf.DUMMYFUNCTION("""COMPUTED_VALUE"""),0)</f>
        <v>0</v>
      </c>
      <c r="F272" s="5">
        <f ca="1">IFERROR(__xludf.DUMMYFUNCTION("""COMPUTED_VALUE"""),0)</f>
        <v>0</v>
      </c>
      <c r="G272" s="5">
        <f ca="1">IFERROR(__xludf.DUMMYFUNCTION("""COMPUTED_VALUE"""),0)</f>
        <v>0</v>
      </c>
      <c r="H272" s="5">
        <f ca="1">IFERROR(__xludf.DUMMYFUNCTION("""COMPUTED_VALUE"""),0)</f>
        <v>0</v>
      </c>
      <c r="I272" s="5">
        <f ca="1">IFERROR(__xludf.DUMMYFUNCTION("""COMPUTED_VALUE"""),0)</f>
        <v>0</v>
      </c>
      <c r="J272" s="5">
        <f ca="1">IFERROR(__xludf.DUMMYFUNCTION("""COMPUTED_VALUE"""),4)</f>
        <v>4</v>
      </c>
      <c r="K272" s="5">
        <f ca="1">IFERROR(__xludf.DUMMYFUNCTION("""COMPUTED_VALUE"""),0)</f>
        <v>0</v>
      </c>
      <c r="L272" s="5">
        <f ca="1">IFERROR(__xludf.DUMMYFUNCTION("""COMPUTED_VALUE"""),0)</f>
        <v>0</v>
      </c>
      <c r="M272">
        <f ca="1">IFERROR(__xludf.DUMMYFUNCTION("""COMPUTED_VALUE"""),4)</f>
        <v>4</v>
      </c>
      <c r="N272" s="8"/>
    </row>
    <row r="273" spans="1:14" ht="12.45" hidden="1">
      <c r="A273" t="str">
        <f ca="1">IFERROR(__xludf.DUMMYFUNCTION("""COMPUTED_VALUE"""),"V-1-372")</f>
        <v>V-1-372</v>
      </c>
      <c r="B273" t="str">
        <f ca="1">IFERROR(__xludf.DUMMYFUNCTION("""COMPUTED_VALUE"""),"Октябрев")</f>
        <v>Октябрев</v>
      </c>
      <c r="C273" t="str">
        <f ca="1">IFERROR(__xludf.DUMMYFUNCTION("""COMPUTED_VALUE"""),"Арсений")</f>
        <v>Арсений</v>
      </c>
      <c r="D273" t="str">
        <f ca="1">IFERROR(__xludf.DUMMYFUNCTION("""COMPUTED_VALUE"""),"Лицей 179")</f>
        <v>Лицей 179</v>
      </c>
      <c r="E273" s="5">
        <f ca="1">IFERROR(__xludf.DUMMYFUNCTION("""COMPUTED_VALUE"""),0)</f>
        <v>0</v>
      </c>
      <c r="F273" s="5">
        <f ca="1">IFERROR(__xludf.DUMMYFUNCTION("""COMPUTED_VALUE"""),0)</f>
        <v>0</v>
      </c>
      <c r="G273" s="5">
        <f ca="1">IFERROR(__xludf.DUMMYFUNCTION("""COMPUTED_VALUE"""),3)</f>
        <v>3</v>
      </c>
      <c r="H273" s="5">
        <f ca="1">IFERROR(__xludf.DUMMYFUNCTION("""COMPUTED_VALUE"""),0)</f>
        <v>0</v>
      </c>
      <c r="I273" s="5">
        <f ca="1">IFERROR(__xludf.DUMMYFUNCTION("""COMPUTED_VALUE"""),0)</f>
        <v>0</v>
      </c>
      <c r="J273" s="5">
        <f ca="1">IFERROR(__xludf.DUMMYFUNCTION("""COMPUTED_VALUE"""),0)</f>
        <v>0</v>
      </c>
      <c r="K273" s="5">
        <f ca="1">IFERROR(__xludf.DUMMYFUNCTION("""COMPUTED_VALUE"""),0)</f>
        <v>0</v>
      </c>
      <c r="L273" s="5">
        <f ca="1">IFERROR(__xludf.DUMMYFUNCTION("""COMPUTED_VALUE"""),1)</f>
        <v>1</v>
      </c>
      <c r="M273">
        <f ca="1">IFERROR(__xludf.DUMMYFUNCTION("""COMPUTED_VALUE"""),4)</f>
        <v>4</v>
      </c>
      <c r="N273" s="8"/>
    </row>
    <row r="274" spans="1:14" ht="12.45" hidden="1">
      <c r="A274" t="str">
        <f ca="1">IFERROR(__xludf.DUMMYFUNCTION("""COMPUTED_VALUE"""),"V-1-515")</f>
        <v>V-1-515</v>
      </c>
      <c r="B274" t="str">
        <f ca="1">IFERROR(__xludf.DUMMYFUNCTION("""COMPUTED_VALUE"""),"Терентьев")</f>
        <v>Терентьев</v>
      </c>
      <c r="C274" t="str">
        <f ca="1">IFERROR(__xludf.DUMMYFUNCTION("""COMPUTED_VALUE"""),"Даниил")</f>
        <v>Даниил</v>
      </c>
      <c r="D274" t="str">
        <f ca="1">IFERROR(__xludf.DUMMYFUNCTION("""COMPUTED_VALUE"""),"Гимназия 92")</f>
        <v>Гимназия 92</v>
      </c>
      <c r="E274" s="5">
        <f ca="1">IFERROR(__xludf.DUMMYFUNCTION("""COMPUTED_VALUE"""),0)</f>
        <v>0</v>
      </c>
      <c r="F274" s="5">
        <f ca="1">IFERROR(__xludf.DUMMYFUNCTION("""COMPUTED_VALUE"""),0)</f>
        <v>0</v>
      </c>
      <c r="G274" s="5">
        <f ca="1">IFERROR(__xludf.DUMMYFUNCTION("""COMPUTED_VALUE"""),3)</f>
        <v>3</v>
      </c>
      <c r="H274" s="5">
        <f ca="1">IFERROR(__xludf.DUMMYFUNCTION("""COMPUTED_VALUE"""),0)</f>
        <v>0</v>
      </c>
      <c r="I274" s="5">
        <f ca="1">IFERROR(__xludf.DUMMYFUNCTION("""COMPUTED_VALUE"""),0)</f>
        <v>0</v>
      </c>
      <c r="J274" s="5">
        <f ca="1">IFERROR(__xludf.DUMMYFUNCTION("""COMPUTED_VALUE"""),0)</f>
        <v>0</v>
      </c>
      <c r="K274" s="5">
        <f ca="1">IFERROR(__xludf.DUMMYFUNCTION("""COMPUTED_VALUE"""),0)</f>
        <v>0</v>
      </c>
      <c r="L274" s="5">
        <f ca="1">IFERROR(__xludf.DUMMYFUNCTION("""COMPUTED_VALUE"""),1)</f>
        <v>1</v>
      </c>
      <c r="M274">
        <f ca="1">IFERROR(__xludf.DUMMYFUNCTION("""COMPUTED_VALUE"""),4)</f>
        <v>4</v>
      </c>
      <c r="N274" s="8"/>
    </row>
    <row r="275" spans="1:14" ht="12.45" hidden="1">
      <c r="A275" t="str">
        <f ca="1">IFERROR(__xludf.DUMMYFUNCTION("""COMPUTED_VALUE"""),"III-1-248")</f>
        <v>III-1-248</v>
      </c>
      <c r="B275" t="str">
        <f ca="1">IFERROR(__xludf.DUMMYFUNCTION("""COMPUTED_VALUE"""),"Коноваленко")</f>
        <v>Коноваленко</v>
      </c>
      <c r="C275" t="str">
        <f ca="1">IFERROR(__xludf.DUMMYFUNCTION("""COMPUTED_VALUE"""),"Максим")</f>
        <v>Максим</v>
      </c>
      <c r="D275" t="str">
        <f ca="1">IFERROR(__xludf.DUMMYFUNCTION("""COMPUTED_VALUE"""),"Школа 346")</f>
        <v>Школа 346</v>
      </c>
      <c r="E275" s="5">
        <f ca="1">IFERROR(__xludf.DUMMYFUNCTION("""COMPUTED_VALUE"""),0)</f>
        <v>0</v>
      </c>
      <c r="F275" s="5">
        <f ca="1">IFERROR(__xludf.DUMMYFUNCTION("""COMPUTED_VALUE"""),0)</f>
        <v>0</v>
      </c>
      <c r="G275" s="5">
        <f ca="1">IFERROR(__xludf.DUMMYFUNCTION("""COMPUTED_VALUE"""),3)</f>
        <v>3</v>
      </c>
      <c r="H275" s="5">
        <f ca="1">IFERROR(__xludf.DUMMYFUNCTION("""COMPUTED_VALUE"""),0)</f>
        <v>0</v>
      </c>
      <c r="I275" s="5">
        <f ca="1">IFERROR(__xludf.DUMMYFUNCTION("""COMPUTED_VALUE"""),0)</f>
        <v>0</v>
      </c>
      <c r="J275" s="5">
        <f ca="1">IFERROR(__xludf.DUMMYFUNCTION("""COMPUTED_VALUE"""),0)</f>
        <v>0</v>
      </c>
      <c r="K275" s="5">
        <f ca="1">IFERROR(__xludf.DUMMYFUNCTION("""COMPUTED_VALUE"""),0)</f>
        <v>0</v>
      </c>
      <c r="L275" s="5">
        <f ca="1">IFERROR(__xludf.DUMMYFUNCTION("""COMPUTED_VALUE"""),1)</f>
        <v>1</v>
      </c>
      <c r="M275">
        <f ca="1">IFERROR(__xludf.DUMMYFUNCTION("""COMPUTED_VALUE"""),4)</f>
        <v>4</v>
      </c>
      <c r="N275" s="8"/>
    </row>
    <row r="276" spans="1:14" ht="12.45" hidden="1">
      <c r="A276" t="str">
        <f ca="1">IFERROR(__xludf.DUMMYFUNCTION("""COMPUTED_VALUE"""),"III-1-171")</f>
        <v>III-1-171</v>
      </c>
      <c r="B276" t="str">
        <f ca="1">IFERROR(__xludf.DUMMYFUNCTION("""COMPUTED_VALUE"""),"Дурова")</f>
        <v>Дурова</v>
      </c>
      <c r="C276" t="str">
        <f ca="1">IFERROR(__xludf.DUMMYFUNCTION("""COMPUTED_VALUE"""),"Вероника")</f>
        <v>Вероника</v>
      </c>
      <c r="D276" t="str">
        <f ca="1">IFERROR(__xludf.DUMMYFUNCTION("""COMPUTED_VALUE"""),"Школа 468")</f>
        <v>Школа 468</v>
      </c>
      <c r="E276" s="5">
        <f ca="1">IFERROR(__xludf.DUMMYFUNCTION("""COMPUTED_VALUE"""),2)</f>
        <v>2</v>
      </c>
      <c r="F276" s="5">
        <f ca="1">IFERROR(__xludf.DUMMYFUNCTION("""COMPUTED_VALUE"""),0)</f>
        <v>0</v>
      </c>
      <c r="G276" s="5">
        <f ca="1">IFERROR(__xludf.DUMMYFUNCTION("""COMPUTED_VALUE"""),0)</f>
        <v>0</v>
      </c>
      <c r="H276" s="5">
        <f ca="1">IFERROR(__xludf.DUMMYFUNCTION("""COMPUTED_VALUE"""),1)</f>
        <v>1</v>
      </c>
      <c r="I276" s="5">
        <f ca="1">IFERROR(__xludf.DUMMYFUNCTION("""COMPUTED_VALUE"""),0)</f>
        <v>0</v>
      </c>
      <c r="J276" s="5">
        <f ca="1">IFERROR(__xludf.DUMMYFUNCTION("""COMPUTED_VALUE"""),0)</f>
        <v>0</v>
      </c>
      <c r="K276" s="5">
        <f ca="1">IFERROR(__xludf.DUMMYFUNCTION("""COMPUTED_VALUE"""),0)</f>
        <v>0</v>
      </c>
      <c r="L276" s="5">
        <f ca="1">IFERROR(__xludf.DUMMYFUNCTION("""COMPUTED_VALUE"""),1)</f>
        <v>1</v>
      </c>
      <c r="M276">
        <f ca="1">IFERROR(__xludf.DUMMYFUNCTION("""COMPUTED_VALUE"""),4)</f>
        <v>4</v>
      </c>
      <c r="N276" s="8"/>
    </row>
    <row r="277" spans="1:14" ht="12.45" hidden="1">
      <c r="A277" t="str">
        <f ca="1">IFERROR(__xludf.DUMMYFUNCTION("""COMPUTED_VALUE"""),"V-1-537")</f>
        <v>V-1-537</v>
      </c>
      <c r="B277" t="str">
        <f ca="1">IFERROR(__xludf.DUMMYFUNCTION("""COMPUTED_VALUE"""),"Ушков")</f>
        <v>Ушков</v>
      </c>
      <c r="C277" t="str">
        <f ca="1">IFERROR(__xludf.DUMMYFUNCTION("""COMPUTED_VALUE"""),"Матвей")</f>
        <v>Матвей</v>
      </c>
      <c r="D277" t="str">
        <f ca="1">IFERROR(__xludf.DUMMYFUNCTION("""COMPUTED_VALUE"""),"Школа 468")</f>
        <v>Школа 468</v>
      </c>
      <c r="E277" s="5">
        <f ca="1">IFERROR(__xludf.DUMMYFUNCTION("""COMPUTED_VALUE"""),0)</f>
        <v>0</v>
      </c>
      <c r="F277" s="5">
        <f ca="1">IFERROR(__xludf.DUMMYFUNCTION("""COMPUTED_VALUE"""),0)</f>
        <v>0</v>
      </c>
      <c r="G277" s="5">
        <f ca="1">IFERROR(__xludf.DUMMYFUNCTION("""COMPUTED_VALUE"""),3)</f>
        <v>3</v>
      </c>
      <c r="H277" s="5">
        <f ca="1">IFERROR(__xludf.DUMMYFUNCTION("""COMPUTED_VALUE"""),0)</f>
        <v>0</v>
      </c>
      <c r="I277" s="5">
        <f ca="1">IFERROR(__xludf.DUMMYFUNCTION("""COMPUTED_VALUE"""),0)</f>
        <v>0</v>
      </c>
      <c r="J277" s="5">
        <f ca="1">IFERROR(__xludf.DUMMYFUNCTION("""COMPUTED_VALUE"""),0)</f>
        <v>0</v>
      </c>
      <c r="K277" s="5">
        <f ca="1">IFERROR(__xludf.DUMMYFUNCTION("""COMPUTED_VALUE"""),0)</f>
        <v>0</v>
      </c>
      <c r="L277" s="5">
        <f ca="1">IFERROR(__xludf.DUMMYFUNCTION("""COMPUTED_VALUE"""),1)</f>
        <v>1</v>
      </c>
      <c r="M277">
        <f ca="1">IFERROR(__xludf.DUMMYFUNCTION("""COMPUTED_VALUE"""),4)</f>
        <v>4</v>
      </c>
      <c r="N277" s="8"/>
    </row>
    <row r="278" spans="1:14" ht="12.45" hidden="1">
      <c r="A278" t="str">
        <f ca="1">IFERROR(__xludf.DUMMYFUNCTION("""COMPUTED_VALUE"""),"III-1-122")</f>
        <v>III-1-122</v>
      </c>
      <c r="B278" t="str">
        <f ca="1">IFERROR(__xludf.DUMMYFUNCTION("""COMPUTED_VALUE"""),"Гасанов")</f>
        <v>Гасанов</v>
      </c>
      <c r="C278" t="str">
        <f ca="1">IFERROR(__xludf.DUMMYFUNCTION("""COMPUTED_VALUE"""),"Мохаммед")</f>
        <v>Мохаммед</v>
      </c>
      <c r="D278" t="str">
        <f ca="1">IFERROR(__xludf.DUMMYFUNCTION("""COMPUTED_VALUE"""),"Школа Праздник+")</f>
        <v>Школа Праздник+</v>
      </c>
      <c r="E278" s="5">
        <f ca="1">IFERROR(__xludf.DUMMYFUNCTION("""COMPUTED_VALUE"""),0)</f>
        <v>0</v>
      </c>
      <c r="F278" s="5">
        <f ca="1">IFERROR(__xludf.DUMMYFUNCTION("""COMPUTED_VALUE"""),3)</f>
        <v>3</v>
      </c>
      <c r="G278" s="5">
        <f ca="1">IFERROR(__xludf.DUMMYFUNCTION("""COMPUTED_VALUE"""),0)</f>
        <v>0</v>
      </c>
      <c r="H278" s="5">
        <f ca="1">IFERROR(__xludf.DUMMYFUNCTION("""COMPUTED_VALUE"""),0)</f>
        <v>0</v>
      </c>
      <c r="I278" s="5">
        <f ca="1">IFERROR(__xludf.DUMMYFUNCTION("""COMPUTED_VALUE"""),0)</f>
        <v>0</v>
      </c>
      <c r="J278" s="5">
        <f ca="1">IFERROR(__xludf.DUMMYFUNCTION("""COMPUTED_VALUE"""),0)</f>
        <v>0</v>
      </c>
      <c r="K278" s="5">
        <f ca="1">IFERROR(__xludf.DUMMYFUNCTION("""COMPUTED_VALUE"""),0)</f>
        <v>0</v>
      </c>
      <c r="L278" s="5">
        <f ca="1">IFERROR(__xludf.DUMMYFUNCTION("""COMPUTED_VALUE"""),1)</f>
        <v>1</v>
      </c>
      <c r="M278">
        <f ca="1">IFERROR(__xludf.DUMMYFUNCTION("""COMPUTED_VALUE"""),4)</f>
        <v>4</v>
      </c>
      <c r="N278" s="8"/>
    </row>
    <row r="279" spans="1:14" ht="12.45" hidden="1">
      <c r="A279" t="str">
        <f ca="1">IFERROR(__xludf.DUMMYFUNCTION("""COMPUTED_VALUE"""),"III-1-152")</f>
        <v>III-1-152</v>
      </c>
      <c r="B279" t="str">
        <f ca="1">IFERROR(__xludf.DUMMYFUNCTION("""COMPUTED_VALUE"""),"Дадоджонова")</f>
        <v>Дадоджонова</v>
      </c>
      <c r="C279" t="str">
        <f ca="1">IFERROR(__xludf.DUMMYFUNCTION("""COMPUTED_VALUE"""),"Амина")</f>
        <v>Амина</v>
      </c>
      <c r="D279" t="str">
        <f ca="1">IFERROR(__xludf.DUMMYFUNCTION("""COMPUTED_VALUE"""),"Лицей 344")</f>
        <v>Лицей 344</v>
      </c>
      <c r="E279" s="5">
        <f ca="1">IFERROR(__xludf.DUMMYFUNCTION("""COMPUTED_VALUE"""),0)</f>
        <v>0</v>
      </c>
      <c r="F279" s="5">
        <f ca="1">IFERROR(__xludf.DUMMYFUNCTION("""COMPUTED_VALUE"""),0)</f>
        <v>0</v>
      </c>
      <c r="G279" s="5">
        <f ca="1">IFERROR(__xludf.DUMMYFUNCTION("""COMPUTED_VALUE"""),3)</f>
        <v>3</v>
      </c>
      <c r="H279" s="5">
        <f ca="1">IFERROR(__xludf.DUMMYFUNCTION("""COMPUTED_VALUE"""),0)</f>
        <v>0</v>
      </c>
      <c r="I279" s="5">
        <f ca="1">IFERROR(__xludf.DUMMYFUNCTION("""COMPUTED_VALUE"""),0)</f>
        <v>0</v>
      </c>
      <c r="J279" s="5">
        <f ca="1">IFERROR(__xludf.DUMMYFUNCTION("""COMPUTED_VALUE"""),0)</f>
        <v>0</v>
      </c>
      <c r="K279" s="5">
        <f ca="1">IFERROR(__xludf.DUMMYFUNCTION("""COMPUTED_VALUE"""),0)</f>
        <v>0</v>
      </c>
      <c r="L279" s="5">
        <f ca="1">IFERROR(__xludf.DUMMYFUNCTION("""COMPUTED_VALUE"""),1)</f>
        <v>1</v>
      </c>
      <c r="M279">
        <f ca="1">IFERROR(__xludf.DUMMYFUNCTION("""COMPUTED_VALUE"""),4)</f>
        <v>4</v>
      </c>
      <c r="N279" s="8"/>
    </row>
    <row r="280" spans="1:14" ht="12.45" hidden="1">
      <c r="A280" t="str">
        <f ca="1">IFERROR(__xludf.DUMMYFUNCTION("""COMPUTED_VALUE"""),"III-1-229")</f>
        <v>III-1-229</v>
      </c>
      <c r="B280" t="str">
        <f ca="1">IFERROR(__xludf.DUMMYFUNCTION("""COMPUTED_VALUE"""),"Кирилычев")</f>
        <v>Кирилычев</v>
      </c>
      <c r="C280" t="str">
        <f ca="1">IFERROR(__xludf.DUMMYFUNCTION("""COMPUTED_VALUE"""),"Никита")</f>
        <v>Никита</v>
      </c>
      <c r="D280" t="str">
        <f ca="1">IFERROR(__xludf.DUMMYFUNCTION("""COMPUTED_VALUE"""),"Гимназия Лимпик")</f>
        <v>Гимназия Лимпик</v>
      </c>
      <c r="E280" s="5">
        <f ca="1">IFERROR(__xludf.DUMMYFUNCTION("""COMPUTED_VALUE"""),0)</f>
        <v>0</v>
      </c>
      <c r="F280" s="5">
        <f ca="1">IFERROR(__xludf.DUMMYFUNCTION("""COMPUTED_VALUE"""),0)</f>
        <v>0</v>
      </c>
      <c r="G280" s="5">
        <f ca="1">IFERROR(__xludf.DUMMYFUNCTION("""COMPUTED_VALUE"""),3)</f>
        <v>3</v>
      </c>
      <c r="H280" s="5">
        <f ca="1">IFERROR(__xludf.DUMMYFUNCTION("""COMPUTED_VALUE"""),0)</f>
        <v>0</v>
      </c>
      <c r="I280" s="5">
        <f ca="1">IFERROR(__xludf.DUMMYFUNCTION("""COMPUTED_VALUE"""),0)</f>
        <v>0</v>
      </c>
      <c r="J280" s="5">
        <f ca="1">IFERROR(__xludf.DUMMYFUNCTION("""COMPUTED_VALUE"""),0)</f>
        <v>0</v>
      </c>
      <c r="K280" s="5">
        <f ca="1">IFERROR(__xludf.DUMMYFUNCTION("""COMPUTED_VALUE"""),0)</f>
        <v>0</v>
      </c>
      <c r="L280" s="5">
        <f ca="1">IFERROR(__xludf.DUMMYFUNCTION("""COMPUTED_VALUE"""),1)</f>
        <v>1</v>
      </c>
      <c r="M280">
        <f ca="1">IFERROR(__xludf.DUMMYFUNCTION("""COMPUTED_VALUE"""),4)</f>
        <v>4</v>
      </c>
      <c r="N280" s="8"/>
    </row>
    <row r="281" spans="1:14" ht="12.45" hidden="1">
      <c r="A281" t="str">
        <f ca="1">IFERROR(__xludf.DUMMYFUNCTION("""COMPUTED_VALUE"""),"V-1-357")</f>
        <v>V-1-357</v>
      </c>
      <c r="B281" t="str">
        <f ca="1">IFERROR(__xludf.DUMMYFUNCTION("""COMPUTED_VALUE"""),"Нетёсов")</f>
        <v>Нетёсов</v>
      </c>
      <c r="C281" t="str">
        <f ca="1">IFERROR(__xludf.DUMMYFUNCTION("""COMPUTED_VALUE"""),"Александр")</f>
        <v>Александр</v>
      </c>
      <c r="D281" t="str">
        <f ca="1">IFERROR(__xludf.DUMMYFUNCTION("""COMPUTED_VALUE"""),"Школа 257")</f>
        <v>Школа 257</v>
      </c>
      <c r="E281" s="5">
        <f ca="1">IFERROR(__xludf.DUMMYFUNCTION("""COMPUTED_VALUE"""),0)</f>
        <v>0</v>
      </c>
      <c r="F281" s="5">
        <f ca="1">IFERROR(__xludf.DUMMYFUNCTION("""COMPUTED_VALUE"""),0)</f>
        <v>0</v>
      </c>
      <c r="G281" s="5">
        <f ca="1">IFERROR(__xludf.DUMMYFUNCTION("""COMPUTED_VALUE"""),3)</f>
        <v>3</v>
      </c>
      <c r="H281" s="5">
        <f ca="1">IFERROR(__xludf.DUMMYFUNCTION("""COMPUTED_VALUE"""),0)</f>
        <v>0</v>
      </c>
      <c r="I281" s="5">
        <f ca="1">IFERROR(__xludf.DUMMYFUNCTION("""COMPUTED_VALUE"""),0)</f>
        <v>0</v>
      </c>
      <c r="J281" s="5">
        <f ca="1">IFERROR(__xludf.DUMMYFUNCTION("""COMPUTED_VALUE"""),0)</f>
        <v>0</v>
      </c>
      <c r="K281" s="5">
        <f ca="1">IFERROR(__xludf.DUMMYFUNCTION("""COMPUTED_VALUE"""),0)</f>
        <v>0</v>
      </c>
      <c r="L281" s="5">
        <f ca="1">IFERROR(__xludf.DUMMYFUNCTION("""COMPUTED_VALUE"""),1)</f>
        <v>1</v>
      </c>
      <c r="M281">
        <f ca="1">IFERROR(__xludf.DUMMYFUNCTION("""COMPUTED_VALUE"""),4)</f>
        <v>4</v>
      </c>
      <c r="N281" s="8"/>
    </row>
    <row r="282" spans="1:14" ht="12.45" hidden="1">
      <c r="A282" t="str">
        <f ca="1">IFERROR(__xludf.DUMMYFUNCTION("""COMPUTED_VALUE"""),"III-1-002")</f>
        <v>III-1-002</v>
      </c>
      <c r="B282" t="str">
        <f ca="1">IFERROR(__xludf.DUMMYFUNCTION("""COMPUTED_VALUE"""),"Абукарова")</f>
        <v>Абукарова</v>
      </c>
      <c r="C282" t="str">
        <f ca="1">IFERROR(__xludf.DUMMYFUNCTION("""COMPUTED_VALUE"""),"Камилла")</f>
        <v>Камилла</v>
      </c>
      <c r="D282" t="str">
        <f ca="1">IFERROR(__xludf.DUMMYFUNCTION("""COMPUTED_VALUE"""),"Школа 407")</f>
        <v>Школа 407</v>
      </c>
      <c r="E282" s="5">
        <f ca="1">IFERROR(__xludf.DUMMYFUNCTION("""COMPUTED_VALUE"""),0)</f>
        <v>0</v>
      </c>
      <c r="F282" s="5">
        <f ca="1">IFERROR(__xludf.DUMMYFUNCTION("""COMPUTED_VALUE"""),0)</f>
        <v>0</v>
      </c>
      <c r="G282" s="5">
        <f ca="1">IFERROR(__xludf.DUMMYFUNCTION("""COMPUTED_VALUE"""),0)</f>
        <v>0</v>
      </c>
      <c r="H282" s="5">
        <f ca="1">IFERROR(__xludf.DUMMYFUNCTION("""COMPUTED_VALUE"""),0)</f>
        <v>0</v>
      </c>
      <c r="I282" s="5">
        <f ca="1">IFERROR(__xludf.DUMMYFUNCTION("""COMPUTED_VALUE"""),0)</f>
        <v>0</v>
      </c>
      <c r="J282" s="5">
        <f ca="1">IFERROR(__xludf.DUMMYFUNCTION("""COMPUTED_VALUE"""),0)</f>
        <v>0</v>
      </c>
      <c r="K282" s="5">
        <f ca="1">IFERROR(__xludf.DUMMYFUNCTION("""COMPUTED_VALUE"""),4)</f>
        <v>4</v>
      </c>
      <c r="L282" s="5">
        <f ca="1">IFERROR(__xludf.DUMMYFUNCTION("""COMPUTED_VALUE"""),0)</f>
        <v>0</v>
      </c>
      <c r="M282">
        <f ca="1">IFERROR(__xludf.DUMMYFUNCTION("""COMPUTED_VALUE"""),4)</f>
        <v>4</v>
      </c>
      <c r="N282" s="8"/>
    </row>
    <row r="283" spans="1:14" ht="12.45" hidden="1">
      <c r="A283" t="str">
        <f ca="1">IFERROR(__xludf.DUMMYFUNCTION("""COMPUTED_VALUE"""),"III-1-076")</f>
        <v>III-1-076</v>
      </c>
      <c r="B283" t="str">
        <f ca="1">IFERROR(__xludf.DUMMYFUNCTION("""COMPUTED_VALUE"""),"БУДУ")</f>
        <v>БУДУ</v>
      </c>
      <c r="C283" t="str">
        <f ca="1">IFERROR(__xludf.DUMMYFUNCTION("""COMPUTED_VALUE"""),"Дарья")</f>
        <v>Дарья</v>
      </c>
      <c r="D283" t="str">
        <f ca="1">IFERROR(__xludf.DUMMYFUNCTION("""COMPUTED_VALUE"""),"Школа 407")</f>
        <v>Школа 407</v>
      </c>
      <c r="E283" s="5"/>
      <c r="F283" s="5"/>
      <c r="G283" s="5">
        <f ca="1">IFERROR(__xludf.DUMMYFUNCTION("""COMPUTED_VALUE"""),3)</f>
        <v>3</v>
      </c>
      <c r="H283" s="5">
        <f ca="1">IFERROR(__xludf.DUMMYFUNCTION("""COMPUTED_VALUE"""),0)</f>
        <v>0</v>
      </c>
      <c r="I283" s="5">
        <f ca="1">IFERROR(__xludf.DUMMYFUNCTION("""COMPUTED_VALUE"""),0)</f>
        <v>0</v>
      </c>
      <c r="J283" s="5">
        <f ca="1">IFERROR(__xludf.DUMMYFUNCTION("""COMPUTED_VALUE"""),0)</f>
        <v>0</v>
      </c>
      <c r="K283" s="5">
        <f ca="1">IFERROR(__xludf.DUMMYFUNCTION("""COMPUTED_VALUE"""),0)</f>
        <v>0</v>
      </c>
      <c r="L283" s="5">
        <f ca="1">IFERROR(__xludf.DUMMYFUNCTION("""COMPUTED_VALUE"""),1)</f>
        <v>1</v>
      </c>
      <c r="M283">
        <f ca="1">IFERROR(__xludf.DUMMYFUNCTION("""COMPUTED_VALUE"""),4)</f>
        <v>4</v>
      </c>
      <c r="N283" s="8"/>
    </row>
    <row r="284" spans="1:14" ht="12.45" hidden="1">
      <c r="A284" t="str">
        <f ca="1">IFERROR(__xludf.DUMMYFUNCTION("""COMPUTED_VALUE"""),"III-1-055")</f>
        <v>III-1-055</v>
      </c>
      <c r="B284" t="str">
        <f ca="1">IFERROR(__xludf.DUMMYFUNCTION("""COMPUTED_VALUE"""),"Белорукова")</f>
        <v>Белорукова</v>
      </c>
      <c r="C284" t="str">
        <f ca="1">IFERROR(__xludf.DUMMYFUNCTION("""COMPUTED_VALUE"""),"Софья")</f>
        <v>Софья</v>
      </c>
      <c r="D284" t="str">
        <f ca="1">IFERROR(__xludf.DUMMYFUNCTION("""COMPUTED_VALUE"""),"Гимназия 524")</f>
        <v>Гимназия 524</v>
      </c>
      <c r="E284" s="5"/>
      <c r="F284" s="5">
        <f ca="1">IFERROR(__xludf.DUMMYFUNCTION("""COMPUTED_VALUE"""),3)</f>
        <v>3</v>
      </c>
      <c r="G284" s="5">
        <f ca="1">IFERROR(__xludf.DUMMYFUNCTION("""COMPUTED_VALUE"""),0)</f>
        <v>0</v>
      </c>
      <c r="H284" s="5">
        <f ca="1">IFERROR(__xludf.DUMMYFUNCTION("""COMPUTED_VALUE"""),0)</f>
        <v>0</v>
      </c>
      <c r="I284" s="5">
        <f ca="1">IFERROR(__xludf.DUMMYFUNCTION("""COMPUTED_VALUE"""),0)</f>
        <v>0</v>
      </c>
      <c r="J284" s="5"/>
      <c r="K284" s="5"/>
      <c r="L284" s="5">
        <f ca="1">IFERROR(__xludf.DUMMYFUNCTION("""COMPUTED_VALUE"""),1)</f>
        <v>1</v>
      </c>
      <c r="M284">
        <f ca="1">IFERROR(__xludf.DUMMYFUNCTION("""COMPUTED_VALUE"""),4)</f>
        <v>4</v>
      </c>
      <c r="N284" s="8"/>
    </row>
    <row r="285" spans="1:14" ht="12.45" hidden="1">
      <c r="A285" t="str">
        <f ca="1">IFERROR(__xludf.DUMMYFUNCTION("""COMPUTED_VALUE"""),"III-1-143")</f>
        <v>III-1-143</v>
      </c>
      <c r="B285" t="str">
        <f ca="1">IFERROR(__xludf.DUMMYFUNCTION("""COMPUTED_VALUE"""),"Грудинина")</f>
        <v>Грудинина</v>
      </c>
      <c r="C285" t="str">
        <f ca="1">IFERROR(__xludf.DUMMYFUNCTION("""COMPUTED_VALUE"""),"Полина")</f>
        <v>Полина</v>
      </c>
      <c r="D285" t="str">
        <f ca="1">IFERROR(__xludf.DUMMYFUNCTION("""COMPUTED_VALUE"""),"Школа 630")</f>
        <v>Школа 630</v>
      </c>
      <c r="E285" s="5">
        <f ca="1">IFERROR(__xludf.DUMMYFUNCTION("""COMPUTED_VALUE"""),0)</f>
        <v>0</v>
      </c>
      <c r="F285" s="5">
        <f ca="1">IFERROR(__xludf.DUMMYFUNCTION("""COMPUTED_VALUE"""),3)</f>
        <v>3</v>
      </c>
      <c r="G285" s="5">
        <f ca="1">IFERROR(__xludf.DUMMYFUNCTION("""COMPUTED_VALUE"""),0)</f>
        <v>0</v>
      </c>
      <c r="H285" s="5">
        <f ca="1">IFERROR(__xludf.DUMMYFUNCTION("""COMPUTED_VALUE"""),0)</f>
        <v>0</v>
      </c>
      <c r="I285" s="5">
        <f ca="1">IFERROR(__xludf.DUMMYFUNCTION("""COMPUTED_VALUE"""),0)</f>
        <v>0</v>
      </c>
      <c r="J285" s="5">
        <f ca="1">IFERROR(__xludf.DUMMYFUNCTION("""COMPUTED_VALUE"""),0)</f>
        <v>0</v>
      </c>
      <c r="K285" s="5"/>
      <c r="L285" s="5">
        <f ca="1">IFERROR(__xludf.DUMMYFUNCTION("""COMPUTED_VALUE"""),1)</f>
        <v>1</v>
      </c>
      <c r="M285">
        <f ca="1">IFERROR(__xludf.DUMMYFUNCTION("""COMPUTED_VALUE"""),4)</f>
        <v>4</v>
      </c>
      <c r="N285" s="8"/>
    </row>
    <row r="286" spans="1:14" ht="12.45" hidden="1">
      <c r="A286" t="str">
        <f ca="1">IFERROR(__xludf.DUMMYFUNCTION("""COMPUTED_VALUE"""),"III-1-108")</f>
        <v>III-1-108</v>
      </c>
      <c r="B286" t="str">
        <f ca="1">IFERROR(__xludf.DUMMYFUNCTION("""COMPUTED_VALUE"""),"Воронков")</f>
        <v>Воронков</v>
      </c>
      <c r="C286" t="str">
        <f ca="1">IFERROR(__xludf.DUMMYFUNCTION("""COMPUTED_VALUE"""),"Матвей")</f>
        <v>Матвей</v>
      </c>
      <c r="D286" t="str">
        <f ca="1">IFERROR(__xludf.DUMMYFUNCTION("""COMPUTED_VALUE"""),"Школа 113")</f>
        <v>Школа 113</v>
      </c>
      <c r="E286" s="5">
        <f ca="1">IFERROR(__xludf.DUMMYFUNCTION("""COMPUTED_VALUE"""),0)</f>
        <v>0</v>
      </c>
      <c r="F286" s="5">
        <f ca="1">IFERROR(__xludf.DUMMYFUNCTION("""COMPUTED_VALUE"""),3)</f>
        <v>3</v>
      </c>
      <c r="G286" s="5">
        <f ca="1">IFERROR(__xludf.DUMMYFUNCTION("""COMPUTED_VALUE"""),0)</f>
        <v>0</v>
      </c>
      <c r="H286" s="5">
        <f ca="1">IFERROR(__xludf.DUMMYFUNCTION("""COMPUTED_VALUE"""),0)</f>
        <v>0</v>
      </c>
      <c r="I286" s="5">
        <f ca="1">IFERROR(__xludf.DUMMYFUNCTION("""COMPUTED_VALUE"""),0)</f>
        <v>0</v>
      </c>
      <c r="J286" s="5">
        <f ca="1">IFERROR(__xludf.DUMMYFUNCTION("""COMPUTED_VALUE"""),0)</f>
        <v>0</v>
      </c>
      <c r="K286" s="5">
        <f ca="1">IFERROR(__xludf.DUMMYFUNCTION("""COMPUTED_VALUE"""),0)</f>
        <v>0</v>
      </c>
      <c r="L286" s="5">
        <f ca="1">IFERROR(__xludf.DUMMYFUNCTION("""COMPUTED_VALUE"""),1)</f>
        <v>1</v>
      </c>
      <c r="M286">
        <f ca="1">IFERROR(__xludf.DUMMYFUNCTION("""COMPUTED_VALUE"""),4)</f>
        <v>4</v>
      </c>
      <c r="N286" s="8"/>
    </row>
    <row r="287" spans="1:14" ht="12.45" hidden="1">
      <c r="A287" t="str">
        <f ca="1">IFERROR(__xludf.DUMMYFUNCTION("""COMPUTED_VALUE"""),"III-1-177")</f>
        <v>III-1-177</v>
      </c>
      <c r="B287" t="str">
        <f ca="1">IFERROR(__xludf.DUMMYFUNCTION("""COMPUTED_VALUE"""),"Ерофеева")</f>
        <v>Ерофеева</v>
      </c>
      <c r="C287" t="str">
        <f ca="1">IFERROR(__xludf.DUMMYFUNCTION("""COMPUTED_VALUE"""),"Надежда")</f>
        <v>Надежда</v>
      </c>
      <c r="D287" t="str">
        <f ca="1">IFERROR(__xludf.DUMMYFUNCTION("""COMPUTED_VALUE"""),"Школа 113")</f>
        <v>Школа 113</v>
      </c>
      <c r="E287" s="5">
        <f ca="1">IFERROR(__xludf.DUMMYFUNCTION("""COMPUTED_VALUE"""),0)</f>
        <v>0</v>
      </c>
      <c r="F287" s="5">
        <f ca="1">IFERROR(__xludf.DUMMYFUNCTION("""COMPUTED_VALUE"""),0)</f>
        <v>0</v>
      </c>
      <c r="G287" s="5">
        <f ca="1">IFERROR(__xludf.DUMMYFUNCTION("""COMPUTED_VALUE"""),3)</f>
        <v>3</v>
      </c>
      <c r="H287" s="5">
        <f ca="1">IFERROR(__xludf.DUMMYFUNCTION("""COMPUTED_VALUE"""),0)</f>
        <v>0</v>
      </c>
      <c r="I287" s="5">
        <f ca="1">IFERROR(__xludf.DUMMYFUNCTION("""COMPUTED_VALUE"""),0)</f>
        <v>0</v>
      </c>
      <c r="J287" s="5">
        <f ca="1">IFERROR(__xludf.DUMMYFUNCTION("""COMPUTED_VALUE"""),0)</f>
        <v>0</v>
      </c>
      <c r="K287" s="5">
        <f ca="1">IFERROR(__xludf.DUMMYFUNCTION("""COMPUTED_VALUE"""),0)</f>
        <v>0</v>
      </c>
      <c r="L287" s="5">
        <f ca="1">IFERROR(__xludf.DUMMYFUNCTION("""COMPUTED_VALUE"""),1)</f>
        <v>1</v>
      </c>
      <c r="M287">
        <f ca="1">IFERROR(__xludf.DUMMYFUNCTION("""COMPUTED_VALUE"""),4)</f>
        <v>4</v>
      </c>
      <c r="N287" s="8"/>
    </row>
    <row r="288" spans="1:14" ht="12.45" hidden="1">
      <c r="A288" t="str">
        <f ca="1">IFERROR(__xludf.DUMMYFUNCTION("""COMPUTED_VALUE"""),"III-1-086")</f>
        <v>III-1-086</v>
      </c>
      <c r="B288" t="str">
        <f ca="1">IFERROR(__xludf.DUMMYFUNCTION("""COMPUTED_VALUE"""),"Валяева")</f>
        <v>Валяева</v>
      </c>
      <c r="C288" t="str">
        <f ca="1">IFERROR(__xludf.DUMMYFUNCTION("""COMPUTED_VALUE"""),"Полина")</f>
        <v>Полина</v>
      </c>
      <c r="D288" t="str">
        <f ca="1">IFERROR(__xludf.DUMMYFUNCTION("""COMPUTED_VALUE"""),"Лицей 101")</f>
        <v>Лицей 101</v>
      </c>
      <c r="E288" s="5">
        <f ca="1">IFERROR(__xludf.DUMMYFUNCTION("""COMPUTED_VALUE"""),0)</f>
        <v>0</v>
      </c>
      <c r="F288" s="5">
        <f ca="1">IFERROR(__xludf.DUMMYFUNCTION("""COMPUTED_VALUE"""),0)</f>
        <v>0</v>
      </c>
      <c r="G288" s="5">
        <f ca="1">IFERROR(__xludf.DUMMYFUNCTION("""COMPUTED_VALUE"""),3)</f>
        <v>3</v>
      </c>
      <c r="H288" s="5">
        <f ca="1">IFERROR(__xludf.DUMMYFUNCTION("""COMPUTED_VALUE"""),0)</f>
        <v>0</v>
      </c>
      <c r="I288" s="5">
        <f ca="1">IFERROR(__xludf.DUMMYFUNCTION("""COMPUTED_VALUE"""),0)</f>
        <v>0</v>
      </c>
      <c r="J288" s="5">
        <f ca="1">IFERROR(__xludf.DUMMYFUNCTION("""COMPUTED_VALUE"""),0)</f>
        <v>0</v>
      </c>
      <c r="K288" s="5">
        <f ca="1">IFERROR(__xludf.DUMMYFUNCTION("""COMPUTED_VALUE"""),0)</f>
        <v>0</v>
      </c>
      <c r="L288" s="5">
        <f ca="1">IFERROR(__xludf.DUMMYFUNCTION("""COMPUTED_VALUE"""),1)</f>
        <v>1</v>
      </c>
      <c r="M288">
        <f ca="1">IFERROR(__xludf.DUMMYFUNCTION("""COMPUTED_VALUE"""),4)</f>
        <v>4</v>
      </c>
      <c r="N288" s="8"/>
    </row>
    <row r="289" spans="1:14" ht="12.45" hidden="1">
      <c r="A289" t="str">
        <f ca="1">IFERROR(__xludf.DUMMYFUNCTION("""COMPUTED_VALUE"""),"III-1-126")</f>
        <v>III-1-126</v>
      </c>
      <c r="B289" t="str">
        <f ca="1">IFERROR(__xludf.DUMMYFUNCTION("""COMPUTED_VALUE"""),"Герасимчик")</f>
        <v>Герасимчик</v>
      </c>
      <c r="C289" t="str">
        <f ca="1">IFERROR(__xludf.DUMMYFUNCTION("""COMPUTED_VALUE"""),"Глеб")</f>
        <v>Глеб</v>
      </c>
      <c r="D289" t="str">
        <f ca="1">IFERROR(__xludf.DUMMYFUNCTION("""COMPUTED_VALUE"""),"Школа 191")</f>
        <v>Школа 191</v>
      </c>
      <c r="E289" s="5">
        <f ca="1">IFERROR(__xludf.DUMMYFUNCTION("""COMPUTED_VALUE"""),1)</f>
        <v>1</v>
      </c>
      <c r="F289" s="5">
        <f ca="1">IFERROR(__xludf.DUMMYFUNCTION("""COMPUTED_VALUE"""),0)</f>
        <v>0</v>
      </c>
      <c r="G289" s="5">
        <f ca="1">IFERROR(__xludf.DUMMYFUNCTION("""COMPUTED_VALUE"""),0)</f>
        <v>0</v>
      </c>
      <c r="H289" s="5">
        <f ca="1">IFERROR(__xludf.DUMMYFUNCTION("""COMPUTED_VALUE"""),1)</f>
        <v>1</v>
      </c>
      <c r="I289" s="5">
        <f ca="1">IFERROR(__xludf.DUMMYFUNCTION("""COMPUTED_VALUE"""),1)</f>
        <v>1</v>
      </c>
      <c r="J289" s="5">
        <f ca="1">IFERROR(__xludf.DUMMYFUNCTION("""COMPUTED_VALUE"""),0)</f>
        <v>0</v>
      </c>
      <c r="K289" s="5">
        <f ca="1">IFERROR(__xludf.DUMMYFUNCTION("""COMPUTED_VALUE"""),0)</f>
        <v>0</v>
      </c>
      <c r="L289" s="5">
        <f ca="1">IFERROR(__xludf.DUMMYFUNCTION("""COMPUTED_VALUE"""),1)</f>
        <v>1</v>
      </c>
      <c r="M289">
        <f ca="1">IFERROR(__xludf.DUMMYFUNCTION("""COMPUTED_VALUE"""),4)</f>
        <v>4</v>
      </c>
      <c r="N289" s="8"/>
    </row>
    <row r="290" spans="1:14" ht="12.45" hidden="1">
      <c r="A290" t="str">
        <f ca="1">IFERROR(__xludf.DUMMYFUNCTION("""COMPUTED_VALUE"""),"V-1-461")</f>
        <v>V-1-461</v>
      </c>
      <c r="B290" t="str">
        <f ca="1">IFERROR(__xludf.DUMMYFUNCTION("""COMPUTED_VALUE"""),"Седляр")</f>
        <v>Седляр</v>
      </c>
      <c r="C290" t="str">
        <f ca="1">IFERROR(__xludf.DUMMYFUNCTION("""COMPUTED_VALUE"""),"Екатерина")</f>
        <v>Екатерина</v>
      </c>
      <c r="D290" t="str">
        <f ca="1">IFERROR(__xludf.DUMMYFUNCTION("""COMPUTED_VALUE"""),"Школа 176")</f>
        <v>Школа 176</v>
      </c>
      <c r="E290" s="5">
        <f ca="1">IFERROR(__xludf.DUMMYFUNCTION("""COMPUTED_VALUE"""),0)</f>
        <v>0</v>
      </c>
      <c r="F290" s="5">
        <f ca="1">IFERROR(__xludf.DUMMYFUNCTION("""COMPUTED_VALUE"""),0)</f>
        <v>0</v>
      </c>
      <c r="G290" s="5">
        <f ca="1">IFERROR(__xludf.DUMMYFUNCTION("""COMPUTED_VALUE"""),3)</f>
        <v>3</v>
      </c>
      <c r="H290" s="5">
        <f ca="1">IFERROR(__xludf.DUMMYFUNCTION("""COMPUTED_VALUE"""),1)</f>
        <v>1</v>
      </c>
      <c r="I290" s="5">
        <f ca="1">IFERROR(__xludf.DUMMYFUNCTION("""COMPUTED_VALUE"""),0)</f>
        <v>0</v>
      </c>
      <c r="J290" s="5">
        <f ca="1">IFERROR(__xludf.DUMMYFUNCTION("""COMPUTED_VALUE"""),0)</f>
        <v>0</v>
      </c>
      <c r="K290" s="5">
        <f ca="1">IFERROR(__xludf.DUMMYFUNCTION("""COMPUTED_VALUE"""),0)</f>
        <v>0</v>
      </c>
      <c r="L290" s="5">
        <f ca="1">IFERROR(__xludf.DUMMYFUNCTION("""COMPUTED_VALUE"""),0)</f>
        <v>0</v>
      </c>
      <c r="M290">
        <f ca="1">IFERROR(__xludf.DUMMYFUNCTION("""COMPUTED_VALUE"""),4)</f>
        <v>4</v>
      </c>
      <c r="N290" s="8"/>
    </row>
    <row r="291" spans="1:14" ht="12.45" hidden="1">
      <c r="A291" t="str">
        <f ca="1">IFERROR(__xludf.DUMMYFUNCTION("""COMPUTED_VALUE"""),"V-1-458")</f>
        <v>V-1-458</v>
      </c>
      <c r="B291" t="str">
        <f ca="1">IFERROR(__xludf.DUMMYFUNCTION("""COMPUTED_VALUE"""),"Сафиулин")</f>
        <v>Сафиулин</v>
      </c>
      <c r="C291" t="str">
        <f ca="1">IFERROR(__xludf.DUMMYFUNCTION("""COMPUTED_VALUE"""),"Ренат")</f>
        <v>Ренат</v>
      </c>
      <c r="D291" t="str">
        <f ca="1">IFERROR(__xludf.DUMMYFUNCTION("""COMPUTED_VALUE"""),"Школа 507")</f>
        <v>Школа 507</v>
      </c>
      <c r="E291" s="5">
        <f ca="1">IFERROR(__xludf.DUMMYFUNCTION("""COMPUTED_VALUE"""),0)</f>
        <v>0</v>
      </c>
      <c r="F291" s="5">
        <f ca="1">IFERROR(__xludf.DUMMYFUNCTION("""COMPUTED_VALUE"""),0)</f>
        <v>0</v>
      </c>
      <c r="G291" s="5">
        <f ca="1">IFERROR(__xludf.DUMMYFUNCTION("""COMPUTED_VALUE"""),3)</f>
        <v>3</v>
      </c>
      <c r="H291" s="5">
        <f ca="1">IFERROR(__xludf.DUMMYFUNCTION("""COMPUTED_VALUE"""),0)</f>
        <v>0</v>
      </c>
      <c r="I291" s="5"/>
      <c r="J291" s="5"/>
      <c r="K291" s="5"/>
      <c r="L291" s="5">
        <f ca="1">IFERROR(__xludf.DUMMYFUNCTION("""COMPUTED_VALUE"""),1)</f>
        <v>1</v>
      </c>
      <c r="M291">
        <f ca="1">IFERROR(__xludf.DUMMYFUNCTION("""COMPUTED_VALUE"""),4)</f>
        <v>4</v>
      </c>
      <c r="N291" s="8"/>
    </row>
    <row r="292" spans="1:14" ht="12.45" hidden="1">
      <c r="A292" t="str">
        <f ca="1">IFERROR(__xludf.DUMMYFUNCTION("""COMPUTED_VALUE"""),"V-1-417")</f>
        <v>V-1-417</v>
      </c>
      <c r="B292" t="str">
        <f ca="1">IFERROR(__xludf.DUMMYFUNCTION("""COMPUTED_VALUE"""),"Постникова")</f>
        <v>Постникова</v>
      </c>
      <c r="C292" t="str">
        <f ca="1">IFERROR(__xludf.DUMMYFUNCTION("""COMPUTED_VALUE"""),"Марина")</f>
        <v>Марина</v>
      </c>
      <c r="D292" t="str">
        <f ca="1">IFERROR(__xludf.DUMMYFUNCTION("""COMPUTED_VALUE"""),"Лицей 470")</f>
        <v>Лицей 470</v>
      </c>
      <c r="E292" s="5">
        <f ca="1">IFERROR(__xludf.DUMMYFUNCTION("""COMPUTED_VALUE"""),1)</f>
        <v>1</v>
      </c>
      <c r="F292" s="5">
        <f ca="1">IFERROR(__xludf.DUMMYFUNCTION("""COMPUTED_VALUE"""),0)</f>
        <v>0</v>
      </c>
      <c r="G292" s="5">
        <f ca="1">IFERROR(__xludf.DUMMYFUNCTION("""COMPUTED_VALUE"""),3)</f>
        <v>3</v>
      </c>
      <c r="H292" s="5">
        <f ca="1">IFERROR(__xludf.DUMMYFUNCTION("""COMPUTED_VALUE"""),0)</f>
        <v>0</v>
      </c>
      <c r="I292" s="5">
        <f ca="1">IFERROR(__xludf.DUMMYFUNCTION("""COMPUTED_VALUE"""),0)</f>
        <v>0</v>
      </c>
      <c r="J292" s="5">
        <f ca="1">IFERROR(__xludf.DUMMYFUNCTION("""COMPUTED_VALUE"""),0)</f>
        <v>0</v>
      </c>
      <c r="K292" s="5">
        <f ca="1">IFERROR(__xludf.DUMMYFUNCTION("""COMPUTED_VALUE"""),0)</f>
        <v>0</v>
      </c>
      <c r="L292" s="5">
        <f ca="1">IFERROR(__xludf.DUMMYFUNCTION("""COMPUTED_VALUE"""),0)</f>
        <v>0</v>
      </c>
      <c r="M292">
        <f ca="1">IFERROR(__xludf.DUMMYFUNCTION("""COMPUTED_VALUE"""),4)</f>
        <v>4</v>
      </c>
      <c r="N292" s="8"/>
    </row>
    <row r="293" spans="1:14" ht="12.45" hidden="1">
      <c r="A293" t="str">
        <f ca="1">IFERROR(__xludf.DUMMYFUNCTION("""COMPUTED_VALUE"""),"III-1-304")</f>
        <v>III-1-304</v>
      </c>
      <c r="B293" t="str">
        <f ca="1">IFERROR(__xludf.DUMMYFUNCTION("""COMPUTED_VALUE"""),"Лямаева")</f>
        <v>Лямаева</v>
      </c>
      <c r="C293" t="str">
        <f ca="1">IFERROR(__xludf.DUMMYFUNCTION("""COMPUTED_VALUE"""),"Вера")</f>
        <v>Вера</v>
      </c>
      <c r="D293" t="str">
        <f ca="1">IFERROR(__xludf.DUMMYFUNCTION("""COMPUTED_VALUE"""),"Гимназия 148")</f>
        <v>Гимназия 148</v>
      </c>
      <c r="E293" s="5">
        <f ca="1">IFERROR(__xludf.DUMMYFUNCTION("""COMPUTED_VALUE"""),1)</f>
        <v>1</v>
      </c>
      <c r="F293" s="5">
        <f ca="1">IFERROR(__xludf.DUMMYFUNCTION("""COMPUTED_VALUE"""),3)</f>
        <v>3</v>
      </c>
      <c r="G293" s="5">
        <f ca="1">IFERROR(__xludf.DUMMYFUNCTION("""COMPUTED_VALUE"""),0)</f>
        <v>0</v>
      </c>
      <c r="H293" s="5">
        <f ca="1">IFERROR(__xludf.DUMMYFUNCTION("""COMPUTED_VALUE"""),0)</f>
        <v>0</v>
      </c>
      <c r="I293" s="5"/>
      <c r="J293" s="5"/>
      <c r="K293" s="5"/>
      <c r="L293" s="5"/>
      <c r="M293">
        <f ca="1">IFERROR(__xludf.DUMMYFUNCTION("""COMPUTED_VALUE"""),4)</f>
        <v>4</v>
      </c>
      <c r="N293" s="8"/>
    </row>
    <row r="294" spans="1:14" ht="12.45" hidden="1">
      <c r="A294" t="str">
        <f ca="1">IFERROR(__xludf.DUMMYFUNCTION("""COMPUTED_VALUE"""),"III-1-053")</f>
        <v>III-1-053</v>
      </c>
      <c r="B294" t="str">
        <f ca="1">IFERROR(__xludf.DUMMYFUNCTION("""COMPUTED_VALUE"""),"Бебякина")</f>
        <v>Бебякина</v>
      </c>
      <c r="C294" t="str">
        <f ca="1">IFERROR(__xludf.DUMMYFUNCTION("""COMPUTED_VALUE"""),"Анастасия")</f>
        <v>Анастасия</v>
      </c>
      <c r="D294" t="str">
        <f ca="1">IFERROR(__xludf.DUMMYFUNCTION("""COMPUTED_VALUE"""),"Школа 508")</f>
        <v>Школа 508</v>
      </c>
      <c r="E294" s="5">
        <f ca="1">IFERROR(__xludf.DUMMYFUNCTION("""COMPUTED_VALUE"""),0)</f>
        <v>0</v>
      </c>
      <c r="F294" s="5"/>
      <c r="G294" s="5">
        <f ca="1">IFERROR(__xludf.DUMMYFUNCTION("""COMPUTED_VALUE"""),3)</f>
        <v>3</v>
      </c>
      <c r="H294" s="5"/>
      <c r="I294" s="5"/>
      <c r="J294" s="5"/>
      <c r="K294" s="5">
        <f ca="1">IFERROR(__xludf.DUMMYFUNCTION("""COMPUTED_VALUE"""),0)</f>
        <v>0</v>
      </c>
      <c r="L294" s="5">
        <f ca="1">IFERROR(__xludf.DUMMYFUNCTION("""COMPUTED_VALUE"""),1)</f>
        <v>1</v>
      </c>
      <c r="M294">
        <f ca="1">IFERROR(__xludf.DUMMYFUNCTION("""COMPUTED_VALUE"""),4)</f>
        <v>4</v>
      </c>
      <c r="N294" s="8"/>
    </row>
    <row r="295" spans="1:14" ht="12.45" hidden="1">
      <c r="A295" t="str">
        <f ca="1">IFERROR(__xludf.DUMMYFUNCTION("""COMPUTED_VALUE"""),"V-1-530")</f>
        <v>V-1-530</v>
      </c>
      <c r="B295" t="str">
        <f ca="1">IFERROR(__xludf.DUMMYFUNCTION("""COMPUTED_VALUE"""),"Ульяшова")</f>
        <v>Ульяшова</v>
      </c>
      <c r="C295" t="str">
        <f ca="1">IFERROR(__xludf.DUMMYFUNCTION("""COMPUTED_VALUE"""),"Кристина")</f>
        <v>Кристина</v>
      </c>
      <c r="D295" t="str">
        <f ca="1">IFERROR(__xludf.DUMMYFUNCTION("""COMPUTED_VALUE"""),"Гимназия 107")</f>
        <v>Гимназия 107</v>
      </c>
      <c r="E295" s="5">
        <f ca="1">IFERROR(__xludf.DUMMYFUNCTION("""COMPUTED_VALUE"""),0)</f>
        <v>0</v>
      </c>
      <c r="F295" s="5">
        <f ca="1">IFERROR(__xludf.DUMMYFUNCTION("""COMPUTED_VALUE"""),0)</f>
        <v>0</v>
      </c>
      <c r="G295" s="5">
        <f ca="1">IFERROR(__xludf.DUMMYFUNCTION("""COMPUTED_VALUE"""),3)</f>
        <v>3</v>
      </c>
      <c r="H295" s="5">
        <f ca="1">IFERROR(__xludf.DUMMYFUNCTION("""COMPUTED_VALUE"""),0)</f>
        <v>0</v>
      </c>
      <c r="I295" s="5">
        <f ca="1">IFERROR(__xludf.DUMMYFUNCTION("""COMPUTED_VALUE"""),0)</f>
        <v>0</v>
      </c>
      <c r="J295" s="5">
        <f ca="1">IFERROR(__xludf.DUMMYFUNCTION("""COMPUTED_VALUE"""),0)</f>
        <v>0</v>
      </c>
      <c r="K295" s="5">
        <f ca="1">IFERROR(__xludf.DUMMYFUNCTION("""COMPUTED_VALUE"""),0)</f>
        <v>0</v>
      </c>
      <c r="L295" s="5">
        <f ca="1">IFERROR(__xludf.DUMMYFUNCTION("""COMPUTED_VALUE"""),1)</f>
        <v>1</v>
      </c>
      <c r="M295">
        <f ca="1">IFERROR(__xludf.DUMMYFUNCTION("""COMPUTED_VALUE"""),4)</f>
        <v>4</v>
      </c>
      <c r="N295" s="8"/>
    </row>
    <row r="296" spans="1:14" ht="12.45" hidden="1">
      <c r="A296" t="str">
        <f ca="1">IFERROR(__xludf.DUMMYFUNCTION("""COMPUTED_VALUE"""),"III-1-293")</f>
        <v>III-1-293</v>
      </c>
      <c r="B296" t="str">
        <f ca="1">IFERROR(__xludf.DUMMYFUNCTION("""COMPUTED_VALUE"""),"Лихачев")</f>
        <v>Лихачев</v>
      </c>
      <c r="C296" t="str">
        <f ca="1">IFERROR(__xludf.DUMMYFUNCTION("""COMPUTED_VALUE"""),"Климентий")</f>
        <v>Климентий</v>
      </c>
      <c r="D296" t="str">
        <f ca="1">IFERROR(__xludf.DUMMYFUNCTION("""COMPUTED_VALUE"""),"Школа 292")</f>
        <v>Школа 292</v>
      </c>
      <c r="E296" s="5">
        <f ca="1">IFERROR(__xludf.DUMMYFUNCTION("""COMPUTED_VALUE"""),2)</f>
        <v>2</v>
      </c>
      <c r="F296" s="5">
        <f ca="1">IFERROR(__xludf.DUMMYFUNCTION("""COMPUTED_VALUE"""),0)</f>
        <v>0</v>
      </c>
      <c r="G296" s="5">
        <f ca="1">IFERROR(__xludf.DUMMYFUNCTION("""COMPUTED_VALUE"""),0)</f>
        <v>0</v>
      </c>
      <c r="H296" s="5">
        <f ca="1">IFERROR(__xludf.DUMMYFUNCTION("""COMPUTED_VALUE"""),1)</f>
        <v>1</v>
      </c>
      <c r="I296" s="5">
        <f ca="1">IFERROR(__xludf.DUMMYFUNCTION("""COMPUTED_VALUE"""),0)</f>
        <v>0</v>
      </c>
      <c r="J296" s="5">
        <f ca="1">IFERROR(__xludf.DUMMYFUNCTION("""COMPUTED_VALUE"""),0)</f>
        <v>0</v>
      </c>
      <c r="K296" s="5">
        <f ca="1">IFERROR(__xludf.DUMMYFUNCTION("""COMPUTED_VALUE"""),0)</f>
        <v>0</v>
      </c>
      <c r="L296" s="5">
        <f ca="1">IFERROR(__xludf.DUMMYFUNCTION("""COMPUTED_VALUE"""),1)</f>
        <v>1</v>
      </c>
      <c r="M296">
        <f ca="1">IFERROR(__xludf.DUMMYFUNCTION("""COMPUTED_VALUE"""),4)</f>
        <v>4</v>
      </c>
      <c r="N296" s="8"/>
    </row>
    <row r="297" spans="1:14" ht="12.45" hidden="1">
      <c r="A297" t="str">
        <f ca="1">IFERROR(__xludf.DUMMYFUNCTION("""COMPUTED_VALUE"""),"III-1-160")</f>
        <v>III-1-160</v>
      </c>
      <c r="B297" t="str">
        <f ca="1">IFERROR(__xludf.DUMMYFUNCTION("""COMPUTED_VALUE"""),"Джежелей")</f>
        <v>Джежелей</v>
      </c>
      <c r="C297" t="str">
        <f ca="1">IFERROR(__xludf.DUMMYFUNCTION("""COMPUTED_VALUE"""),"Юрий")</f>
        <v>Юрий</v>
      </c>
      <c r="D297" t="str">
        <f ca="1">IFERROR(__xludf.DUMMYFUNCTION("""COMPUTED_VALUE"""),"Гимназия 107")</f>
        <v>Гимназия 107</v>
      </c>
      <c r="E297" s="5">
        <f ca="1">IFERROR(__xludf.DUMMYFUNCTION("""COMPUTED_VALUE"""),0)</f>
        <v>0</v>
      </c>
      <c r="F297" s="5">
        <f ca="1">IFERROR(__xludf.DUMMYFUNCTION("""COMPUTED_VALUE"""),0)</f>
        <v>0</v>
      </c>
      <c r="G297" s="5">
        <f ca="1">IFERROR(__xludf.DUMMYFUNCTION("""COMPUTED_VALUE"""),3)</f>
        <v>3</v>
      </c>
      <c r="H297" s="5">
        <f ca="1">IFERROR(__xludf.DUMMYFUNCTION("""COMPUTED_VALUE"""),0)</f>
        <v>0</v>
      </c>
      <c r="I297" s="5">
        <f ca="1">IFERROR(__xludf.DUMMYFUNCTION("""COMPUTED_VALUE"""),0)</f>
        <v>0</v>
      </c>
      <c r="J297" s="5">
        <f ca="1">IFERROR(__xludf.DUMMYFUNCTION("""COMPUTED_VALUE"""),0)</f>
        <v>0</v>
      </c>
      <c r="K297" s="5">
        <f ca="1">IFERROR(__xludf.DUMMYFUNCTION("""COMPUTED_VALUE"""),0)</f>
        <v>0</v>
      </c>
      <c r="L297" s="5">
        <f ca="1">IFERROR(__xludf.DUMMYFUNCTION("""COMPUTED_VALUE"""),1)</f>
        <v>1</v>
      </c>
      <c r="M297">
        <f ca="1">IFERROR(__xludf.DUMMYFUNCTION("""COMPUTED_VALUE"""),4)</f>
        <v>4</v>
      </c>
      <c r="N297" s="8"/>
    </row>
    <row r="298" spans="1:14" ht="12.45" hidden="1">
      <c r="A298" t="str">
        <f ca="1">IFERROR(__xludf.DUMMYFUNCTION("""COMPUTED_VALUE"""),"III-1-214")</f>
        <v>III-1-214</v>
      </c>
      <c r="B298" t="str">
        <f ca="1">IFERROR(__xludf.DUMMYFUNCTION("""COMPUTED_VALUE"""),"Кабачкова")</f>
        <v>Кабачкова</v>
      </c>
      <c r="C298" t="str">
        <f ca="1">IFERROR(__xludf.DUMMYFUNCTION("""COMPUTED_VALUE"""),"София")</f>
        <v>София</v>
      </c>
      <c r="D298" t="str">
        <f ca="1">IFERROR(__xludf.DUMMYFUNCTION("""COMPUTED_VALUE"""),"Школа 655")</f>
        <v>Школа 655</v>
      </c>
      <c r="E298" s="5">
        <f ca="1">IFERROR(__xludf.DUMMYFUNCTION("""COMPUTED_VALUE"""),0)</f>
        <v>0</v>
      </c>
      <c r="F298" s="5">
        <f ca="1">IFERROR(__xludf.DUMMYFUNCTION("""COMPUTED_VALUE"""),0)</f>
        <v>0</v>
      </c>
      <c r="G298" s="5">
        <f ca="1">IFERROR(__xludf.DUMMYFUNCTION("""COMPUTED_VALUE"""),3)</f>
        <v>3</v>
      </c>
      <c r="H298" s="5">
        <f ca="1">IFERROR(__xludf.DUMMYFUNCTION("""COMPUTED_VALUE"""),0)</f>
        <v>0</v>
      </c>
      <c r="I298" s="5">
        <f ca="1">IFERROR(__xludf.DUMMYFUNCTION("""COMPUTED_VALUE"""),0)</f>
        <v>0</v>
      </c>
      <c r="J298" s="5">
        <f ca="1">IFERROR(__xludf.DUMMYFUNCTION("""COMPUTED_VALUE"""),0)</f>
        <v>0</v>
      </c>
      <c r="K298" s="5">
        <f ca="1">IFERROR(__xludf.DUMMYFUNCTION("""COMPUTED_VALUE"""),0)</f>
        <v>0</v>
      </c>
      <c r="L298" s="5">
        <f ca="1">IFERROR(__xludf.DUMMYFUNCTION("""COMPUTED_VALUE"""),1)</f>
        <v>1</v>
      </c>
      <c r="M298">
        <f ca="1">IFERROR(__xludf.DUMMYFUNCTION("""COMPUTED_VALUE"""),4)</f>
        <v>4</v>
      </c>
      <c r="N298" s="8"/>
    </row>
    <row r="299" spans="1:14" ht="12.45" hidden="1">
      <c r="A299" t="str">
        <f ca="1">IFERROR(__xludf.DUMMYFUNCTION("""COMPUTED_VALUE"""),"V-1-609")</f>
        <v>V-1-609</v>
      </c>
      <c r="B299" t="str">
        <f ca="1">IFERROR(__xludf.DUMMYFUNCTION("""COMPUTED_VALUE"""),"Эльберг")</f>
        <v>Эльберг</v>
      </c>
      <c r="C299" t="str">
        <f ca="1">IFERROR(__xludf.DUMMYFUNCTION("""COMPUTED_VALUE"""),"Дарья")</f>
        <v>Дарья</v>
      </c>
      <c r="D299" t="str">
        <f ca="1">IFERROR(__xludf.DUMMYFUNCTION("""COMPUTED_VALUE"""),"Школа 18")</f>
        <v>Школа 18</v>
      </c>
      <c r="E299" s="5">
        <f ca="1">IFERROR(__xludf.DUMMYFUNCTION("""COMPUTED_VALUE"""),0)</f>
        <v>0</v>
      </c>
      <c r="F299" s="5">
        <f ca="1">IFERROR(__xludf.DUMMYFUNCTION("""COMPUTED_VALUE"""),0)</f>
        <v>0</v>
      </c>
      <c r="G299" s="5">
        <f ca="1">IFERROR(__xludf.DUMMYFUNCTION("""COMPUTED_VALUE"""),3)</f>
        <v>3</v>
      </c>
      <c r="H299" s="5">
        <f ca="1">IFERROR(__xludf.DUMMYFUNCTION("""COMPUTED_VALUE"""),0)</f>
        <v>0</v>
      </c>
      <c r="I299" s="5">
        <f ca="1">IFERROR(__xludf.DUMMYFUNCTION("""COMPUTED_VALUE"""),0)</f>
        <v>0</v>
      </c>
      <c r="J299" s="5"/>
      <c r="K299" s="5">
        <f ca="1">IFERROR(__xludf.DUMMYFUNCTION("""COMPUTED_VALUE"""),0)</f>
        <v>0</v>
      </c>
      <c r="L299" s="5">
        <f ca="1">IFERROR(__xludf.DUMMYFUNCTION("""COMPUTED_VALUE"""),1)</f>
        <v>1</v>
      </c>
      <c r="M299">
        <f ca="1">IFERROR(__xludf.DUMMYFUNCTION("""COMPUTED_VALUE"""),4)</f>
        <v>4</v>
      </c>
      <c r="N299" s="8"/>
    </row>
    <row r="300" spans="1:14" ht="12.45" hidden="1">
      <c r="A300" t="str">
        <f ca="1">IFERROR(__xludf.DUMMYFUNCTION("""COMPUTED_VALUE"""),"III-1-207")</f>
        <v>III-1-207</v>
      </c>
      <c r="B300" t="str">
        <f ca="1">IFERROR(__xludf.DUMMYFUNCTION("""COMPUTED_VALUE"""),"Иванькин")</f>
        <v>Иванькин</v>
      </c>
      <c r="C300" t="str">
        <f ca="1">IFERROR(__xludf.DUMMYFUNCTION("""COMPUTED_VALUE"""),"Никита")</f>
        <v>Никита</v>
      </c>
      <c r="D300" t="str">
        <f ca="1">IFERROR(__xludf.DUMMYFUNCTION("""COMPUTED_VALUE"""),"Школа 598")</f>
        <v>Школа 598</v>
      </c>
      <c r="E300" s="5">
        <f ca="1">IFERROR(__xludf.DUMMYFUNCTION("""COMPUTED_VALUE"""),2)</f>
        <v>2</v>
      </c>
      <c r="F300" s="5">
        <f ca="1">IFERROR(__xludf.DUMMYFUNCTION("""COMPUTED_VALUE"""),0)</f>
        <v>0</v>
      </c>
      <c r="G300" s="5">
        <f ca="1">IFERROR(__xludf.DUMMYFUNCTION("""COMPUTED_VALUE"""),0)</f>
        <v>0</v>
      </c>
      <c r="H300" s="5">
        <f ca="1">IFERROR(__xludf.DUMMYFUNCTION("""COMPUTED_VALUE"""),0)</f>
        <v>0</v>
      </c>
      <c r="I300" s="5">
        <f ca="1">IFERROR(__xludf.DUMMYFUNCTION("""COMPUTED_VALUE"""),0)</f>
        <v>0</v>
      </c>
      <c r="J300" s="5"/>
      <c r="K300" s="5">
        <f ca="1">IFERROR(__xludf.DUMMYFUNCTION("""COMPUTED_VALUE"""),0)</f>
        <v>0</v>
      </c>
      <c r="L300" s="5">
        <f ca="1">IFERROR(__xludf.DUMMYFUNCTION("""COMPUTED_VALUE"""),1)</f>
        <v>1</v>
      </c>
      <c r="M300">
        <f ca="1">IFERROR(__xludf.DUMMYFUNCTION("""COMPUTED_VALUE"""),3)</f>
        <v>3</v>
      </c>
      <c r="N300" s="8"/>
    </row>
    <row r="301" spans="1:14" ht="12.45">
      <c r="A301" t="str">
        <f ca="1">IFERROR(__xludf.DUMMYFUNCTION("""COMPUTED_VALUE"""),"III-1-301")</f>
        <v>III-1-301</v>
      </c>
      <c r="B301" t="str">
        <f ca="1">IFERROR(__xludf.DUMMYFUNCTION("""COMPUTED_VALUE"""),"Лумбоцыренов")</f>
        <v>Лумбоцыренов</v>
      </c>
      <c r="C301" t="str">
        <f ca="1">IFERROR(__xludf.DUMMYFUNCTION("""COMPUTED_VALUE"""),"Арья")</f>
        <v>Арья</v>
      </c>
      <c r="D301" t="str">
        <f ca="1">IFERROR(__xludf.DUMMYFUNCTION("""COMPUTED_VALUE"""),"Гимназия 3")</f>
        <v>Гимназия 3</v>
      </c>
      <c r="E301" s="5">
        <f ca="1">IFERROR(__xludf.DUMMYFUNCTION("""COMPUTED_VALUE"""),0)</f>
        <v>0</v>
      </c>
      <c r="F301" s="5">
        <f ca="1">IFERROR(__xludf.DUMMYFUNCTION("""COMPUTED_VALUE"""),0)</f>
        <v>0</v>
      </c>
      <c r="G301" s="5">
        <f ca="1">IFERROR(__xludf.DUMMYFUNCTION("""COMPUTED_VALUE"""),3)</f>
        <v>3</v>
      </c>
      <c r="H301" s="5">
        <f ca="1">IFERROR(__xludf.DUMMYFUNCTION("""COMPUTED_VALUE"""),0)</f>
        <v>0</v>
      </c>
      <c r="I301" s="5"/>
      <c r="J301" s="5"/>
      <c r="K301" s="5"/>
      <c r="L301" s="5"/>
      <c r="M301">
        <f ca="1">IFERROR(__xludf.DUMMYFUNCTION("""COMPUTED_VALUE"""),3)</f>
        <v>3</v>
      </c>
      <c r="N301" s="8"/>
    </row>
    <row r="302" spans="1:14" ht="12.45" hidden="1">
      <c r="A302" t="str">
        <f ca="1">IFERROR(__xludf.DUMMYFUNCTION("""COMPUTED_VALUE"""),"III-1-010")</f>
        <v>III-1-010</v>
      </c>
      <c r="B302" t="str">
        <f ca="1">IFERROR(__xludf.DUMMYFUNCTION("""COMPUTED_VALUE"""),"Алексеев")</f>
        <v>Алексеев</v>
      </c>
      <c r="C302" t="str">
        <f ca="1">IFERROR(__xludf.DUMMYFUNCTION("""COMPUTED_VALUE"""),"Артем")</f>
        <v>Артем</v>
      </c>
      <c r="D302" t="str">
        <f ca="1">IFERROR(__xludf.DUMMYFUNCTION("""COMPUTED_VALUE"""),"Гимназия 330")</f>
        <v>Гимназия 330</v>
      </c>
      <c r="E302" s="5">
        <f ca="1">IFERROR(__xludf.DUMMYFUNCTION("""COMPUTED_VALUE"""),0)</f>
        <v>0</v>
      </c>
      <c r="F302" s="5">
        <f ca="1">IFERROR(__xludf.DUMMYFUNCTION("""COMPUTED_VALUE"""),0)</f>
        <v>0</v>
      </c>
      <c r="G302" s="5">
        <f ca="1">IFERROR(__xludf.DUMMYFUNCTION("""COMPUTED_VALUE"""),3)</f>
        <v>3</v>
      </c>
      <c r="H302" s="5">
        <f ca="1">IFERROR(__xludf.DUMMYFUNCTION("""COMPUTED_VALUE"""),0)</f>
        <v>0</v>
      </c>
      <c r="I302" s="5"/>
      <c r="J302" s="5"/>
      <c r="K302" s="5"/>
      <c r="L302" s="5"/>
      <c r="M302">
        <f ca="1">IFERROR(__xludf.DUMMYFUNCTION("""COMPUTED_VALUE"""),3)</f>
        <v>3</v>
      </c>
      <c r="N302" s="8"/>
    </row>
    <row r="303" spans="1:14" ht="12.45" hidden="1">
      <c r="A303" t="str">
        <f ca="1">IFERROR(__xludf.DUMMYFUNCTION("""COMPUTED_VALUE"""),"V-1-562")</f>
        <v>V-1-562</v>
      </c>
      <c r="B303" t="str">
        <f ca="1">IFERROR(__xludf.DUMMYFUNCTION("""COMPUTED_VALUE"""),"Хасьян")</f>
        <v>Хасьян</v>
      </c>
      <c r="C303" t="str">
        <f ca="1">IFERROR(__xludf.DUMMYFUNCTION("""COMPUTED_VALUE"""),"Виктория")</f>
        <v>Виктория</v>
      </c>
      <c r="D303" t="str">
        <f ca="1">IFERROR(__xludf.DUMMYFUNCTION("""COMPUTED_VALUE"""),"Лицей 9")</f>
        <v>Лицей 9</v>
      </c>
      <c r="E303" s="5">
        <f ca="1">IFERROR(__xludf.DUMMYFUNCTION("""COMPUTED_VALUE"""),2)</f>
        <v>2</v>
      </c>
      <c r="F303" s="5">
        <f ca="1">IFERROR(__xludf.DUMMYFUNCTION("""COMPUTED_VALUE"""),0)</f>
        <v>0</v>
      </c>
      <c r="G303" s="5">
        <f ca="1">IFERROR(__xludf.DUMMYFUNCTION("""COMPUTED_VALUE"""),0)</f>
        <v>0</v>
      </c>
      <c r="H303" s="5">
        <f ca="1">IFERROR(__xludf.DUMMYFUNCTION("""COMPUTED_VALUE"""),0)</f>
        <v>0</v>
      </c>
      <c r="I303" s="5">
        <f ca="1">IFERROR(__xludf.DUMMYFUNCTION("""COMPUTED_VALUE"""),0)</f>
        <v>0</v>
      </c>
      <c r="J303" s="5">
        <f ca="1">IFERROR(__xludf.DUMMYFUNCTION("""COMPUTED_VALUE"""),0)</f>
        <v>0</v>
      </c>
      <c r="K303" s="5">
        <f ca="1">IFERROR(__xludf.DUMMYFUNCTION("""COMPUTED_VALUE"""),0)</f>
        <v>0</v>
      </c>
      <c r="L303" s="5">
        <f ca="1">IFERROR(__xludf.DUMMYFUNCTION("""COMPUTED_VALUE"""),1)</f>
        <v>1</v>
      </c>
      <c r="M303">
        <f ca="1">IFERROR(__xludf.DUMMYFUNCTION("""COMPUTED_VALUE"""),3)</f>
        <v>3</v>
      </c>
      <c r="N303" s="8"/>
    </row>
    <row r="304" spans="1:14" ht="12.45" hidden="1">
      <c r="A304" t="str">
        <f ca="1">IFERROR(__xludf.DUMMYFUNCTION("""COMPUTED_VALUE"""),"III-1-267")</f>
        <v>III-1-267</v>
      </c>
      <c r="B304" t="str">
        <f ca="1">IFERROR(__xludf.DUMMYFUNCTION("""COMPUTED_VALUE"""),"Круглов")</f>
        <v>Круглов</v>
      </c>
      <c r="C304" t="str">
        <f ca="1">IFERROR(__xludf.DUMMYFUNCTION("""COMPUTED_VALUE"""),"Алексей")</f>
        <v>Алексей</v>
      </c>
      <c r="D304" t="str">
        <f ca="1">IFERROR(__xludf.DUMMYFUNCTION("""COMPUTED_VALUE"""),"Школа 655")</f>
        <v>Школа 655</v>
      </c>
      <c r="E304" s="5">
        <f ca="1">IFERROR(__xludf.DUMMYFUNCTION("""COMPUTED_VALUE"""),1)</f>
        <v>1</v>
      </c>
      <c r="F304" s="5">
        <f ca="1">IFERROR(__xludf.DUMMYFUNCTION("""COMPUTED_VALUE"""),0)</f>
        <v>0</v>
      </c>
      <c r="G304" s="5">
        <f ca="1">IFERROR(__xludf.DUMMYFUNCTION("""COMPUTED_VALUE"""),0)</f>
        <v>0</v>
      </c>
      <c r="H304" s="5">
        <f ca="1">IFERROR(__xludf.DUMMYFUNCTION("""COMPUTED_VALUE"""),1)</f>
        <v>1</v>
      </c>
      <c r="I304" s="5">
        <f ca="1">IFERROR(__xludf.DUMMYFUNCTION("""COMPUTED_VALUE"""),0)</f>
        <v>0</v>
      </c>
      <c r="J304" s="5">
        <f ca="1">IFERROR(__xludf.DUMMYFUNCTION("""COMPUTED_VALUE"""),0)</f>
        <v>0</v>
      </c>
      <c r="K304" s="5">
        <f ca="1">IFERROR(__xludf.DUMMYFUNCTION("""COMPUTED_VALUE"""),0)</f>
        <v>0</v>
      </c>
      <c r="L304" s="5">
        <f ca="1">IFERROR(__xludf.DUMMYFUNCTION("""COMPUTED_VALUE"""),1)</f>
        <v>1</v>
      </c>
      <c r="M304">
        <f ca="1">IFERROR(__xludf.DUMMYFUNCTION("""COMPUTED_VALUE"""),3)</f>
        <v>3</v>
      </c>
      <c r="N304" s="8"/>
    </row>
    <row r="305" spans="1:14" ht="12.45" hidden="1">
      <c r="A305" t="str">
        <f ca="1">IFERROR(__xludf.DUMMYFUNCTION("""COMPUTED_VALUE"""),"V-1-473")</f>
        <v>V-1-473</v>
      </c>
      <c r="B305" t="str">
        <f ca="1">IFERROR(__xludf.DUMMYFUNCTION("""COMPUTED_VALUE"""),"Синицын")</f>
        <v>Синицын</v>
      </c>
      <c r="C305" t="str">
        <f ca="1">IFERROR(__xludf.DUMMYFUNCTION("""COMPUTED_VALUE"""),"Андрей")</f>
        <v>Андрей</v>
      </c>
      <c r="D305" t="str">
        <f ca="1">IFERROR(__xludf.DUMMYFUNCTION("""COMPUTED_VALUE"""),"Школа 655")</f>
        <v>Школа 655</v>
      </c>
      <c r="E305" s="5">
        <f ca="1">IFERROR(__xludf.DUMMYFUNCTION("""COMPUTED_VALUE"""),2)</f>
        <v>2</v>
      </c>
      <c r="F305" s="5">
        <f ca="1">IFERROR(__xludf.DUMMYFUNCTION("""COMPUTED_VALUE"""),0)</f>
        <v>0</v>
      </c>
      <c r="G305" s="5">
        <f ca="1">IFERROR(__xludf.DUMMYFUNCTION("""COMPUTED_VALUE"""),0)</f>
        <v>0</v>
      </c>
      <c r="H305" s="5">
        <f ca="1">IFERROR(__xludf.DUMMYFUNCTION("""COMPUTED_VALUE"""),0)</f>
        <v>0</v>
      </c>
      <c r="I305" s="5">
        <f ca="1">IFERROR(__xludf.DUMMYFUNCTION("""COMPUTED_VALUE"""),0)</f>
        <v>0</v>
      </c>
      <c r="J305" s="5">
        <f ca="1">IFERROR(__xludf.DUMMYFUNCTION("""COMPUTED_VALUE"""),0)</f>
        <v>0</v>
      </c>
      <c r="K305" s="5">
        <f ca="1">IFERROR(__xludf.DUMMYFUNCTION("""COMPUTED_VALUE"""),0)</f>
        <v>0</v>
      </c>
      <c r="L305" s="5">
        <f ca="1">IFERROR(__xludf.DUMMYFUNCTION("""COMPUTED_VALUE"""),1)</f>
        <v>1</v>
      </c>
      <c r="M305">
        <f ca="1">IFERROR(__xludf.DUMMYFUNCTION("""COMPUTED_VALUE"""),3)</f>
        <v>3</v>
      </c>
      <c r="N305" s="8"/>
    </row>
    <row r="306" spans="1:14" ht="12.45" hidden="1">
      <c r="A306" t="str">
        <f ca="1">IFERROR(__xludf.DUMMYFUNCTION("""COMPUTED_VALUE"""),"III-1-220")</f>
        <v>III-1-220</v>
      </c>
      <c r="B306" t="str">
        <f ca="1">IFERROR(__xludf.DUMMYFUNCTION("""COMPUTED_VALUE"""),"Карнакова")</f>
        <v>Карнакова</v>
      </c>
      <c r="C306" t="str">
        <f ca="1">IFERROR(__xludf.DUMMYFUNCTION("""COMPUTED_VALUE"""),"Елизавета")</f>
        <v>Елизавета</v>
      </c>
      <c r="D306" t="str">
        <f ca="1">IFERROR(__xludf.DUMMYFUNCTION("""COMPUTED_VALUE"""),"Лицей 344")</f>
        <v>Лицей 344</v>
      </c>
      <c r="E306" s="5">
        <f ca="1">IFERROR(__xludf.DUMMYFUNCTION("""COMPUTED_VALUE"""),0)</f>
        <v>0</v>
      </c>
      <c r="F306" s="5">
        <f ca="1">IFERROR(__xludf.DUMMYFUNCTION("""COMPUTED_VALUE"""),0)</f>
        <v>0</v>
      </c>
      <c r="G306" s="5">
        <f ca="1">IFERROR(__xludf.DUMMYFUNCTION("""COMPUTED_VALUE"""),3)</f>
        <v>3</v>
      </c>
      <c r="H306" s="5">
        <f ca="1">IFERROR(__xludf.DUMMYFUNCTION("""COMPUTED_VALUE"""),0)</f>
        <v>0</v>
      </c>
      <c r="I306" s="5">
        <f ca="1">IFERROR(__xludf.DUMMYFUNCTION("""COMPUTED_VALUE"""),0)</f>
        <v>0</v>
      </c>
      <c r="J306" s="5"/>
      <c r="K306" s="5">
        <f ca="1">IFERROR(__xludf.DUMMYFUNCTION("""COMPUTED_VALUE"""),0)</f>
        <v>0</v>
      </c>
      <c r="L306" s="5">
        <f ca="1">IFERROR(__xludf.DUMMYFUNCTION("""COMPUTED_VALUE"""),0)</f>
        <v>0</v>
      </c>
      <c r="M306">
        <f ca="1">IFERROR(__xludf.DUMMYFUNCTION("""COMPUTED_VALUE"""),3)</f>
        <v>3</v>
      </c>
      <c r="N306" s="8"/>
    </row>
    <row r="307" spans="1:14" ht="12.45" hidden="1">
      <c r="A307" t="str">
        <f ca="1">IFERROR(__xludf.DUMMYFUNCTION("""COMPUTED_VALUE"""),"III-1-242")</f>
        <v>III-1-242</v>
      </c>
      <c r="B307" t="str">
        <f ca="1">IFERROR(__xludf.DUMMYFUNCTION("""COMPUTED_VALUE"""),"Кокорин")</f>
        <v>Кокорин</v>
      </c>
      <c r="C307" t="str">
        <f ca="1">IFERROR(__xludf.DUMMYFUNCTION("""COMPUTED_VALUE"""),"Тимофей")</f>
        <v>Тимофей</v>
      </c>
      <c r="D307" t="str">
        <f ca="1">IFERROR(__xludf.DUMMYFUNCTION("""COMPUTED_VALUE"""),"Гимназия 157")</f>
        <v>Гимназия 157</v>
      </c>
      <c r="E307" s="5">
        <f ca="1">IFERROR(__xludf.DUMMYFUNCTION("""COMPUTED_VALUE"""),2)</f>
        <v>2</v>
      </c>
      <c r="F307" s="5">
        <f ca="1">IFERROR(__xludf.DUMMYFUNCTION("""COMPUTED_VALUE"""),0)</f>
        <v>0</v>
      </c>
      <c r="G307" s="5">
        <f ca="1">IFERROR(__xludf.DUMMYFUNCTION("""COMPUTED_VALUE"""),0)</f>
        <v>0</v>
      </c>
      <c r="H307" s="5">
        <f ca="1">IFERROR(__xludf.DUMMYFUNCTION("""COMPUTED_VALUE"""),0)</f>
        <v>0</v>
      </c>
      <c r="I307" s="5">
        <f ca="1">IFERROR(__xludf.DUMMYFUNCTION("""COMPUTED_VALUE"""),0)</f>
        <v>0</v>
      </c>
      <c r="J307" s="5">
        <f ca="1">IFERROR(__xludf.DUMMYFUNCTION("""COMPUTED_VALUE"""),0)</f>
        <v>0</v>
      </c>
      <c r="K307" s="5">
        <f ca="1">IFERROR(__xludf.DUMMYFUNCTION("""COMPUTED_VALUE"""),0)</f>
        <v>0</v>
      </c>
      <c r="L307" s="5">
        <f ca="1">IFERROR(__xludf.DUMMYFUNCTION("""COMPUTED_VALUE"""),1)</f>
        <v>1</v>
      </c>
      <c r="M307">
        <f ca="1">IFERROR(__xludf.DUMMYFUNCTION("""COMPUTED_VALUE"""),3)</f>
        <v>3</v>
      </c>
      <c r="N307" s="8"/>
    </row>
    <row r="308" spans="1:14" ht="12.45" hidden="1">
      <c r="A308" t="str">
        <f ca="1">IFERROR(__xludf.DUMMYFUNCTION("""COMPUTED_VALUE"""),"V-1-412")</f>
        <v>V-1-412</v>
      </c>
      <c r="B308" t="str">
        <f ca="1">IFERROR(__xludf.DUMMYFUNCTION("""COMPUTED_VALUE"""),"Поляков")</f>
        <v>Поляков</v>
      </c>
      <c r="C308" t="str">
        <f ca="1">IFERROR(__xludf.DUMMYFUNCTION("""COMPUTED_VALUE"""),"Александр")</f>
        <v>Александр</v>
      </c>
      <c r="D308" t="str">
        <f ca="1">IFERROR(__xludf.DUMMYFUNCTION("""COMPUTED_VALUE"""),"Школа 591")</f>
        <v>Школа 591</v>
      </c>
      <c r="E308" s="5">
        <f ca="1">IFERROR(__xludf.DUMMYFUNCTION("""COMPUTED_VALUE"""),1)</f>
        <v>1</v>
      </c>
      <c r="F308" s="5">
        <f ca="1">IFERROR(__xludf.DUMMYFUNCTION("""COMPUTED_VALUE"""),0)</f>
        <v>0</v>
      </c>
      <c r="G308" s="5">
        <f ca="1">IFERROR(__xludf.DUMMYFUNCTION("""COMPUTED_VALUE"""),0)</f>
        <v>0</v>
      </c>
      <c r="H308" s="5"/>
      <c r="I308" s="5"/>
      <c r="J308" s="5">
        <f ca="1">IFERROR(__xludf.DUMMYFUNCTION("""COMPUTED_VALUE"""),1)</f>
        <v>1</v>
      </c>
      <c r="K308" s="5">
        <f ca="1">IFERROR(__xludf.DUMMYFUNCTION("""COMPUTED_VALUE"""),0)</f>
        <v>0</v>
      </c>
      <c r="L308" s="5">
        <f ca="1">IFERROR(__xludf.DUMMYFUNCTION("""COMPUTED_VALUE"""),1)</f>
        <v>1</v>
      </c>
      <c r="M308">
        <f ca="1">IFERROR(__xludf.DUMMYFUNCTION("""COMPUTED_VALUE"""),3)</f>
        <v>3</v>
      </c>
      <c r="N308" s="8"/>
    </row>
    <row r="309" spans="1:14" ht="12.45" hidden="1">
      <c r="A309" t="str">
        <f ca="1">IFERROR(__xludf.DUMMYFUNCTION("""COMPUTED_VALUE"""),"III-1-137")</f>
        <v>III-1-137</v>
      </c>
      <c r="B309" t="str">
        <f ca="1">IFERROR(__xludf.DUMMYFUNCTION("""COMPUTED_VALUE"""),"Гостев")</f>
        <v>Гостев</v>
      </c>
      <c r="C309" t="str">
        <f ca="1">IFERROR(__xludf.DUMMYFUNCTION("""COMPUTED_VALUE"""),"Андрей")</f>
        <v>Андрей</v>
      </c>
      <c r="D309" t="str">
        <f ca="1">IFERROR(__xludf.DUMMYFUNCTION("""COMPUTED_VALUE"""),"Гимназия 56")</f>
        <v>Гимназия 56</v>
      </c>
      <c r="E309" s="5">
        <f ca="1">IFERROR(__xludf.DUMMYFUNCTION("""COMPUTED_VALUE"""),0)</f>
        <v>0</v>
      </c>
      <c r="F309" s="5">
        <f ca="1">IFERROR(__xludf.DUMMYFUNCTION("""COMPUTED_VALUE"""),0)</f>
        <v>0</v>
      </c>
      <c r="G309" s="5">
        <f ca="1">IFERROR(__xludf.DUMMYFUNCTION("""COMPUTED_VALUE"""),3)</f>
        <v>3</v>
      </c>
      <c r="H309" s="5">
        <f ca="1">IFERROR(__xludf.DUMMYFUNCTION("""COMPUTED_VALUE"""),0)</f>
        <v>0</v>
      </c>
      <c r="I309" s="5">
        <f ca="1">IFERROR(__xludf.DUMMYFUNCTION("""COMPUTED_VALUE"""),0)</f>
        <v>0</v>
      </c>
      <c r="J309" s="5">
        <f ca="1">IFERROR(__xludf.DUMMYFUNCTION("""COMPUTED_VALUE"""),0)</f>
        <v>0</v>
      </c>
      <c r="K309" s="5">
        <f ca="1">IFERROR(__xludf.DUMMYFUNCTION("""COMPUTED_VALUE"""),0)</f>
        <v>0</v>
      </c>
      <c r="L309" s="5">
        <f ca="1">IFERROR(__xludf.DUMMYFUNCTION("""COMPUTED_VALUE"""),0)</f>
        <v>0</v>
      </c>
      <c r="M309">
        <f ca="1">IFERROR(__xludf.DUMMYFUNCTION("""COMPUTED_VALUE"""),3)</f>
        <v>3</v>
      </c>
      <c r="N309" s="8"/>
    </row>
    <row r="310" spans="1:14" ht="12.45" hidden="1">
      <c r="A310" t="str">
        <f ca="1">IFERROR(__xludf.DUMMYFUNCTION("""COMPUTED_VALUE"""),"III-1-105")</f>
        <v>III-1-105</v>
      </c>
      <c r="B310" t="str">
        <f ca="1">IFERROR(__xludf.DUMMYFUNCTION("""COMPUTED_VALUE"""),"Власова")</f>
        <v>Власова</v>
      </c>
      <c r="C310" t="str">
        <f ca="1">IFERROR(__xludf.DUMMYFUNCTION("""COMPUTED_VALUE"""),"Анастасия")</f>
        <v>Анастасия</v>
      </c>
      <c r="D310" t="str">
        <f ca="1">IFERROR(__xludf.DUMMYFUNCTION("""COMPUTED_VALUE"""),"Школа 630")</f>
        <v>Школа 630</v>
      </c>
      <c r="E310" s="5">
        <f ca="1">IFERROR(__xludf.DUMMYFUNCTION("""COMPUTED_VALUE"""),1)</f>
        <v>1</v>
      </c>
      <c r="F310" s="5">
        <f ca="1">IFERROR(__xludf.DUMMYFUNCTION("""COMPUTED_VALUE"""),0)</f>
        <v>0</v>
      </c>
      <c r="G310" s="5">
        <f ca="1">IFERROR(__xludf.DUMMYFUNCTION("""COMPUTED_VALUE"""),0)</f>
        <v>0</v>
      </c>
      <c r="H310" s="5">
        <f ca="1">IFERROR(__xludf.DUMMYFUNCTION("""COMPUTED_VALUE"""),1)</f>
        <v>1</v>
      </c>
      <c r="I310" s="5">
        <f ca="1">IFERROR(__xludf.DUMMYFUNCTION("""COMPUTED_VALUE"""),0)</f>
        <v>0</v>
      </c>
      <c r="J310" s="5">
        <f ca="1">IFERROR(__xludf.DUMMYFUNCTION("""COMPUTED_VALUE"""),0)</f>
        <v>0</v>
      </c>
      <c r="K310" s="5">
        <f ca="1">IFERROR(__xludf.DUMMYFUNCTION("""COMPUTED_VALUE"""),0)</f>
        <v>0</v>
      </c>
      <c r="L310" s="5">
        <f ca="1">IFERROR(__xludf.DUMMYFUNCTION("""COMPUTED_VALUE"""),1)</f>
        <v>1</v>
      </c>
      <c r="M310">
        <f ca="1">IFERROR(__xludf.DUMMYFUNCTION("""COMPUTED_VALUE"""),3)</f>
        <v>3</v>
      </c>
      <c r="N310" s="8"/>
    </row>
    <row r="311" spans="1:14" ht="12.45" hidden="1">
      <c r="A311" t="str">
        <f ca="1">IFERROR(__xludf.DUMMYFUNCTION("""COMPUTED_VALUE"""),"III-1-001")</f>
        <v>III-1-001</v>
      </c>
      <c r="B311" t="str">
        <f ca="1">IFERROR(__xludf.DUMMYFUNCTION("""COMPUTED_VALUE"""),"Абросимова")</f>
        <v>Абросимова</v>
      </c>
      <c r="C311" t="str">
        <f ca="1">IFERROR(__xludf.DUMMYFUNCTION("""COMPUTED_VALUE"""),"Софья")</f>
        <v>Софья</v>
      </c>
      <c r="D311" t="str">
        <f ca="1">IFERROR(__xludf.DUMMYFUNCTION("""COMPUTED_VALUE"""),"Гимназия 261")</f>
        <v>Гимназия 261</v>
      </c>
      <c r="E311" s="5">
        <f ca="1">IFERROR(__xludf.DUMMYFUNCTION("""COMPUTED_VALUE"""),0)</f>
        <v>0</v>
      </c>
      <c r="F311" s="5">
        <f ca="1">IFERROR(__xludf.DUMMYFUNCTION("""COMPUTED_VALUE"""),3)</f>
        <v>3</v>
      </c>
      <c r="G311" s="5">
        <f ca="1">IFERROR(__xludf.DUMMYFUNCTION("""COMPUTED_VALUE"""),0)</f>
        <v>0</v>
      </c>
      <c r="H311" s="5">
        <f ca="1">IFERROR(__xludf.DUMMYFUNCTION("""COMPUTED_VALUE"""),0)</f>
        <v>0</v>
      </c>
      <c r="I311" s="5">
        <f ca="1">IFERROR(__xludf.DUMMYFUNCTION("""COMPUTED_VALUE"""),0)</f>
        <v>0</v>
      </c>
      <c r="J311" s="5">
        <f ca="1">IFERROR(__xludf.DUMMYFUNCTION("""COMPUTED_VALUE"""),0)</f>
        <v>0</v>
      </c>
      <c r="K311" s="5">
        <f ca="1">IFERROR(__xludf.DUMMYFUNCTION("""COMPUTED_VALUE"""),0)</f>
        <v>0</v>
      </c>
      <c r="L311" s="5">
        <f ca="1">IFERROR(__xludf.DUMMYFUNCTION("""COMPUTED_VALUE"""),0)</f>
        <v>0</v>
      </c>
      <c r="M311">
        <f ca="1">IFERROR(__xludf.DUMMYFUNCTION("""COMPUTED_VALUE"""),3)</f>
        <v>3</v>
      </c>
      <c r="N311" s="8"/>
    </row>
    <row r="312" spans="1:14" ht="12.45" hidden="1">
      <c r="A312" t="str">
        <f ca="1">IFERROR(__xludf.DUMMYFUNCTION("""COMPUTED_VALUE"""),"III-1-082")</f>
        <v>III-1-082</v>
      </c>
      <c r="B312" t="str">
        <f ca="1">IFERROR(__xludf.DUMMYFUNCTION("""COMPUTED_VALUE"""),"Буслаев")</f>
        <v>Буслаев</v>
      </c>
      <c r="C312" t="str">
        <f ca="1">IFERROR(__xludf.DUMMYFUNCTION("""COMPUTED_VALUE"""),"Егор")</f>
        <v>Егор</v>
      </c>
      <c r="D312" t="str">
        <f ca="1">IFERROR(__xludf.DUMMYFUNCTION("""COMPUTED_VALUE"""),"Гимназия 295")</f>
        <v>Гимназия 295</v>
      </c>
      <c r="E312" s="5">
        <f ca="1">IFERROR(__xludf.DUMMYFUNCTION("""COMPUTED_VALUE"""),2)</f>
        <v>2</v>
      </c>
      <c r="F312" s="5"/>
      <c r="G312" s="5">
        <f ca="1">IFERROR(__xludf.DUMMYFUNCTION("""COMPUTED_VALUE"""),0)</f>
        <v>0</v>
      </c>
      <c r="H312" s="5">
        <f ca="1">IFERROR(__xludf.DUMMYFUNCTION("""COMPUTED_VALUE"""),0)</f>
        <v>0</v>
      </c>
      <c r="I312" s="5">
        <f ca="1">IFERROR(__xludf.DUMMYFUNCTION("""COMPUTED_VALUE"""),0)</f>
        <v>0</v>
      </c>
      <c r="J312" s="5">
        <f ca="1">IFERROR(__xludf.DUMMYFUNCTION("""COMPUTED_VALUE"""),0)</f>
        <v>0</v>
      </c>
      <c r="K312" s="5">
        <f ca="1">IFERROR(__xludf.DUMMYFUNCTION("""COMPUTED_VALUE"""),0)</f>
        <v>0</v>
      </c>
      <c r="L312" s="5">
        <f ca="1">IFERROR(__xludf.DUMMYFUNCTION("""COMPUTED_VALUE"""),1)</f>
        <v>1</v>
      </c>
      <c r="M312">
        <f ca="1">IFERROR(__xludf.DUMMYFUNCTION("""COMPUTED_VALUE"""),3)</f>
        <v>3</v>
      </c>
      <c r="N312" s="8"/>
    </row>
    <row r="313" spans="1:14" ht="12.45" hidden="1">
      <c r="A313" t="str">
        <f ca="1">IFERROR(__xludf.DUMMYFUNCTION("""COMPUTED_VALUE"""),"V-1-571")</f>
        <v>V-1-571</v>
      </c>
      <c r="B313" t="str">
        <f ca="1">IFERROR(__xludf.DUMMYFUNCTION("""COMPUTED_VALUE"""),"Цховребов")</f>
        <v>Цховребов</v>
      </c>
      <c r="C313" t="str">
        <f ca="1">IFERROR(__xludf.DUMMYFUNCTION("""COMPUTED_VALUE"""),"Алан")</f>
        <v>Алан</v>
      </c>
      <c r="D313" t="str">
        <f ca="1">IFERROR(__xludf.DUMMYFUNCTION("""COMPUTED_VALUE"""),"Гимназия 107")</f>
        <v>Гимназия 107</v>
      </c>
      <c r="E313" s="5">
        <f ca="1">IFERROR(__xludf.DUMMYFUNCTION("""COMPUTED_VALUE"""),0)</f>
        <v>0</v>
      </c>
      <c r="F313" s="5">
        <f ca="1">IFERROR(__xludf.DUMMYFUNCTION("""COMPUTED_VALUE"""),0)</f>
        <v>0</v>
      </c>
      <c r="G313" s="5">
        <f ca="1">IFERROR(__xludf.DUMMYFUNCTION("""COMPUTED_VALUE"""),3)</f>
        <v>3</v>
      </c>
      <c r="H313" s="5">
        <f ca="1">IFERROR(__xludf.DUMMYFUNCTION("""COMPUTED_VALUE"""),0)</f>
        <v>0</v>
      </c>
      <c r="I313" s="5">
        <f ca="1">IFERROR(__xludf.DUMMYFUNCTION("""COMPUTED_VALUE"""),0)</f>
        <v>0</v>
      </c>
      <c r="J313" s="5">
        <f ca="1">IFERROR(__xludf.DUMMYFUNCTION("""COMPUTED_VALUE"""),0)</f>
        <v>0</v>
      </c>
      <c r="K313" s="5">
        <f ca="1">IFERROR(__xludf.DUMMYFUNCTION("""COMPUTED_VALUE"""),0)</f>
        <v>0</v>
      </c>
      <c r="L313" s="5">
        <f ca="1">IFERROR(__xludf.DUMMYFUNCTION("""COMPUTED_VALUE"""),0)</f>
        <v>0</v>
      </c>
      <c r="M313">
        <f ca="1">IFERROR(__xludf.DUMMYFUNCTION("""COMPUTED_VALUE"""),3)</f>
        <v>3</v>
      </c>
      <c r="N313" s="8"/>
    </row>
    <row r="314" spans="1:14" ht="12.45" hidden="1">
      <c r="A314" t="str">
        <f ca="1">IFERROR(__xludf.DUMMYFUNCTION("""COMPUTED_VALUE"""),"V-1-535")</f>
        <v>V-1-535</v>
      </c>
      <c r="B314" t="str">
        <f ca="1">IFERROR(__xludf.DUMMYFUNCTION("""COMPUTED_VALUE"""),"Уханова")</f>
        <v>Уханова</v>
      </c>
      <c r="C314" t="str">
        <f ca="1">IFERROR(__xludf.DUMMYFUNCTION("""COMPUTED_VALUE"""),"Кира")</f>
        <v>Кира</v>
      </c>
      <c r="D314" t="str">
        <f ca="1">IFERROR(__xludf.DUMMYFUNCTION("""COMPUTED_VALUE"""),"Школа 292")</f>
        <v>Школа 292</v>
      </c>
      <c r="E314" s="5">
        <f ca="1">IFERROR(__xludf.DUMMYFUNCTION("""COMPUTED_VALUE"""),2)</f>
        <v>2</v>
      </c>
      <c r="F314" s="5">
        <f ca="1">IFERROR(__xludf.DUMMYFUNCTION("""COMPUTED_VALUE"""),0)</f>
        <v>0</v>
      </c>
      <c r="G314" s="5">
        <f ca="1">IFERROR(__xludf.DUMMYFUNCTION("""COMPUTED_VALUE"""),0)</f>
        <v>0</v>
      </c>
      <c r="H314" s="5">
        <f ca="1">IFERROR(__xludf.DUMMYFUNCTION("""COMPUTED_VALUE"""),0)</f>
        <v>0</v>
      </c>
      <c r="I314" s="5">
        <f ca="1">IFERROR(__xludf.DUMMYFUNCTION("""COMPUTED_VALUE"""),0)</f>
        <v>0</v>
      </c>
      <c r="J314" s="5">
        <f ca="1">IFERROR(__xludf.DUMMYFUNCTION("""COMPUTED_VALUE"""),0)</f>
        <v>0</v>
      </c>
      <c r="K314" s="5">
        <f ca="1">IFERROR(__xludf.DUMMYFUNCTION("""COMPUTED_VALUE"""),0)</f>
        <v>0</v>
      </c>
      <c r="L314" s="5">
        <f ca="1">IFERROR(__xludf.DUMMYFUNCTION("""COMPUTED_VALUE"""),1)</f>
        <v>1</v>
      </c>
      <c r="M314">
        <f ca="1">IFERROR(__xludf.DUMMYFUNCTION("""COMPUTED_VALUE"""),3)</f>
        <v>3</v>
      </c>
      <c r="N314" s="8"/>
    </row>
    <row r="315" spans="1:14" ht="12.45" hidden="1">
      <c r="A315" t="str">
        <f ca="1">IFERROR(__xludf.DUMMYFUNCTION("""COMPUTED_VALUE"""),"V-1-361")</f>
        <v>V-1-361</v>
      </c>
      <c r="B315" t="str">
        <f ca="1">IFERROR(__xludf.DUMMYFUNCTION("""COMPUTED_VALUE"""),"Новожилова")</f>
        <v>Новожилова</v>
      </c>
      <c r="C315" t="str">
        <f ca="1">IFERROR(__xludf.DUMMYFUNCTION("""COMPUTED_VALUE"""),"Полина")</f>
        <v>Полина</v>
      </c>
      <c r="D315" t="str">
        <f ca="1">IFERROR(__xludf.DUMMYFUNCTION("""COMPUTED_VALUE"""),"Школа 77")</f>
        <v>Школа 77</v>
      </c>
      <c r="E315" s="5">
        <f ca="1">IFERROR(__xludf.DUMMYFUNCTION("""COMPUTED_VALUE"""),1)</f>
        <v>1</v>
      </c>
      <c r="F315" s="5"/>
      <c r="G315" s="5"/>
      <c r="H315" s="5">
        <f ca="1">IFERROR(__xludf.DUMMYFUNCTION("""COMPUTED_VALUE"""),1)</f>
        <v>1</v>
      </c>
      <c r="I315" s="5"/>
      <c r="J315" s="5"/>
      <c r="K315" s="5"/>
      <c r="L315" s="5">
        <f ca="1">IFERROR(__xludf.DUMMYFUNCTION("""COMPUTED_VALUE"""),1)</f>
        <v>1</v>
      </c>
      <c r="M315">
        <f ca="1">IFERROR(__xludf.DUMMYFUNCTION("""COMPUTED_VALUE"""),3)</f>
        <v>3</v>
      </c>
      <c r="N315" s="8"/>
    </row>
    <row r="316" spans="1:14" ht="12.45" hidden="1">
      <c r="A316" t="str">
        <f ca="1">IFERROR(__xludf.DUMMYFUNCTION("""COMPUTED_VALUE"""),"V-1-328")</f>
        <v>V-1-328</v>
      </c>
      <c r="B316" t="str">
        <f ca="1">IFERROR(__xludf.DUMMYFUNCTION("""COMPUTED_VALUE"""),"Михайлов")</f>
        <v>Михайлов</v>
      </c>
      <c r="C316" t="str">
        <f ca="1">IFERROR(__xludf.DUMMYFUNCTION("""COMPUTED_VALUE"""),"Сергей")</f>
        <v>Сергей</v>
      </c>
      <c r="D316" t="str">
        <f ca="1">IFERROR(__xludf.DUMMYFUNCTION("""COMPUTED_VALUE"""),"Школа 4")</f>
        <v>Школа 4</v>
      </c>
      <c r="E316" s="5">
        <f ca="1">IFERROR(__xludf.DUMMYFUNCTION("""COMPUTED_VALUE"""),0)</f>
        <v>0</v>
      </c>
      <c r="F316" s="5">
        <f ca="1">IFERROR(__xludf.DUMMYFUNCTION("""COMPUTED_VALUE"""),0)</f>
        <v>0</v>
      </c>
      <c r="G316" s="5">
        <f ca="1">IFERROR(__xludf.DUMMYFUNCTION("""COMPUTED_VALUE"""),3)</f>
        <v>3</v>
      </c>
      <c r="H316" s="5">
        <f ca="1">IFERROR(__xludf.DUMMYFUNCTION("""COMPUTED_VALUE"""),0)</f>
        <v>0</v>
      </c>
      <c r="I316" s="5">
        <f ca="1">IFERROR(__xludf.DUMMYFUNCTION("""COMPUTED_VALUE"""),0)</f>
        <v>0</v>
      </c>
      <c r="J316" s="5">
        <f ca="1">IFERROR(__xludf.DUMMYFUNCTION("""COMPUTED_VALUE"""),0)</f>
        <v>0</v>
      </c>
      <c r="K316" s="5">
        <f ca="1">IFERROR(__xludf.DUMMYFUNCTION("""COMPUTED_VALUE"""),0)</f>
        <v>0</v>
      </c>
      <c r="L316" s="5"/>
      <c r="M316">
        <f ca="1">IFERROR(__xludf.DUMMYFUNCTION("""COMPUTED_VALUE"""),3)</f>
        <v>3</v>
      </c>
      <c r="N316" s="8"/>
    </row>
    <row r="317" spans="1:14" ht="12.45" hidden="1">
      <c r="A317" t="str">
        <f ca="1">IFERROR(__xludf.DUMMYFUNCTION("""COMPUTED_VALUE"""),"V-1-336")</f>
        <v>V-1-336</v>
      </c>
      <c r="B317" t="str">
        <f ca="1">IFERROR(__xludf.DUMMYFUNCTION("""COMPUTED_VALUE"""),"Мишунин")</f>
        <v>Мишунин</v>
      </c>
      <c r="C317" t="str">
        <f ca="1">IFERROR(__xludf.DUMMYFUNCTION("""COMPUTED_VALUE"""),"Андрей")</f>
        <v>Андрей</v>
      </c>
      <c r="D317" t="str">
        <f ca="1">IFERROR(__xludf.DUMMYFUNCTION("""COMPUTED_VALUE"""),"Школа 544")</f>
        <v>Школа 544</v>
      </c>
      <c r="E317" s="5">
        <f ca="1">IFERROR(__xludf.DUMMYFUNCTION("""COMPUTED_VALUE"""),0)</f>
        <v>0</v>
      </c>
      <c r="F317" s="5"/>
      <c r="G317" s="5">
        <f ca="1">IFERROR(__xludf.DUMMYFUNCTION("""COMPUTED_VALUE"""),3)</f>
        <v>3</v>
      </c>
      <c r="H317" s="5">
        <f ca="1">IFERROR(__xludf.DUMMYFUNCTION("""COMPUTED_VALUE"""),0)</f>
        <v>0</v>
      </c>
      <c r="I317" s="5"/>
      <c r="J317" s="5">
        <f ca="1">IFERROR(__xludf.DUMMYFUNCTION("""COMPUTED_VALUE"""),0)</f>
        <v>0</v>
      </c>
      <c r="K317" s="5"/>
      <c r="L317" s="5"/>
      <c r="M317">
        <f ca="1">IFERROR(__xludf.DUMMYFUNCTION("""COMPUTED_VALUE"""),3)</f>
        <v>3</v>
      </c>
      <c r="N317" s="8"/>
    </row>
    <row r="318" spans="1:14" ht="12.45" hidden="1">
      <c r="A318" t="str">
        <f ca="1">IFERROR(__xludf.DUMMYFUNCTION("""COMPUTED_VALUE"""),"III-1-133")</f>
        <v>III-1-133</v>
      </c>
      <c r="B318" t="str">
        <f ca="1">IFERROR(__xludf.DUMMYFUNCTION("""COMPUTED_VALUE"""),"Горбачева")</f>
        <v>Горбачева</v>
      </c>
      <c r="C318" t="str">
        <f ca="1">IFERROR(__xludf.DUMMYFUNCTION("""COMPUTED_VALUE"""),"Вера")</f>
        <v>Вера</v>
      </c>
      <c r="D318" t="str">
        <f ca="1">IFERROR(__xludf.DUMMYFUNCTION("""COMPUTED_VALUE"""),"Школа 222")</f>
        <v>Школа 222</v>
      </c>
      <c r="E318" s="5">
        <f ca="1">IFERROR(__xludf.DUMMYFUNCTION("""COMPUTED_VALUE"""),2)</f>
        <v>2</v>
      </c>
      <c r="F318" s="5">
        <f ca="1">IFERROR(__xludf.DUMMYFUNCTION("""COMPUTED_VALUE"""),0)</f>
        <v>0</v>
      </c>
      <c r="G318" s="5">
        <f ca="1">IFERROR(__xludf.DUMMYFUNCTION("""COMPUTED_VALUE"""),0)</f>
        <v>0</v>
      </c>
      <c r="H318" s="5"/>
      <c r="I318" s="5"/>
      <c r="J318" s="5"/>
      <c r="K318" s="5"/>
      <c r="L318" s="5">
        <f ca="1">IFERROR(__xludf.DUMMYFUNCTION("""COMPUTED_VALUE"""),1)</f>
        <v>1</v>
      </c>
      <c r="M318">
        <f ca="1">IFERROR(__xludf.DUMMYFUNCTION("""COMPUTED_VALUE"""),3)</f>
        <v>3</v>
      </c>
      <c r="N318" s="8"/>
    </row>
    <row r="319" spans="1:14" ht="12.45" hidden="1">
      <c r="A319" t="str">
        <f ca="1">IFERROR(__xludf.DUMMYFUNCTION("""COMPUTED_VALUE"""),"V-1-349")</f>
        <v>V-1-349</v>
      </c>
      <c r="B319" t="str">
        <f ca="1">IFERROR(__xludf.DUMMYFUNCTION("""COMPUTED_VALUE"""),"Нагач")</f>
        <v>Нагач</v>
      </c>
      <c r="C319" t="str">
        <f ca="1">IFERROR(__xludf.DUMMYFUNCTION("""COMPUTED_VALUE"""),"Маргарита")</f>
        <v>Маргарита</v>
      </c>
      <c r="D319" t="str">
        <f ca="1">IFERROR(__xludf.DUMMYFUNCTION("""COMPUTED_VALUE"""),"Школа 468")</f>
        <v>Школа 468</v>
      </c>
      <c r="E319" s="5">
        <f ca="1">IFERROR(__xludf.DUMMYFUNCTION("""COMPUTED_VALUE"""),1)</f>
        <v>1</v>
      </c>
      <c r="F319" s="5">
        <f ca="1">IFERROR(__xludf.DUMMYFUNCTION("""COMPUTED_VALUE"""),0)</f>
        <v>0</v>
      </c>
      <c r="G319" s="5">
        <f ca="1">IFERROR(__xludf.DUMMYFUNCTION("""COMPUTED_VALUE"""),0)</f>
        <v>0</v>
      </c>
      <c r="H319" s="5">
        <f ca="1">IFERROR(__xludf.DUMMYFUNCTION("""COMPUTED_VALUE"""),0)</f>
        <v>0</v>
      </c>
      <c r="I319" s="5">
        <f ca="1">IFERROR(__xludf.DUMMYFUNCTION("""COMPUTED_VALUE"""),0)</f>
        <v>0</v>
      </c>
      <c r="J319" s="5">
        <f ca="1">IFERROR(__xludf.DUMMYFUNCTION("""COMPUTED_VALUE"""),0)</f>
        <v>0</v>
      </c>
      <c r="K319" s="5"/>
      <c r="L319" s="5">
        <f ca="1">IFERROR(__xludf.DUMMYFUNCTION("""COMPUTED_VALUE"""),1)</f>
        <v>1</v>
      </c>
      <c r="M319">
        <f ca="1">IFERROR(__xludf.DUMMYFUNCTION("""COMPUTED_VALUE"""),2)</f>
        <v>2</v>
      </c>
      <c r="N319" s="8"/>
    </row>
    <row r="320" spans="1:14" ht="12.45" hidden="1">
      <c r="A320" t="str">
        <f ca="1">IFERROR(__xludf.DUMMYFUNCTION("""COMPUTED_VALUE"""),"III-1-161")</f>
        <v>III-1-161</v>
      </c>
      <c r="B320" t="str">
        <f ca="1">IFERROR(__xludf.DUMMYFUNCTION("""COMPUTED_VALUE"""),"Дмитриев")</f>
        <v>Дмитриев</v>
      </c>
      <c r="C320" t="str">
        <f ca="1">IFERROR(__xludf.DUMMYFUNCTION("""COMPUTED_VALUE"""),"Фёдор")</f>
        <v>Фёдор</v>
      </c>
      <c r="D320" t="str">
        <f ca="1">IFERROR(__xludf.DUMMYFUNCTION("""COMPUTED_VALUE"""),"Школа 456")</f>
        <v>Школа 456</v>
      </c>
      <c r="E320" s="5"/>
      <c r="F320" s="5"/>
      <c r="G320" s="5">
        <f ca="1">IFERROR(__xludf.DUMMYFUNCTION("""COMPUTED_VALUE"""),0)</f>
        <v>0</v>
      </c>
      <c r="H320" s="5">
        <f ca="1">IFERROR(__xludf.DUMMYFUNCTION("""COMPUTED_VALUE"""),1)</f>
        <v>1</v>
      </c>
      <c r="I320" s="5"/>
      <c r="J320" s="5">
        <f ca="1">IFERROR(__xludf.DUMMYFUNCTION("""COMPUTED_VALUE"""),0)</f>
        <v>0</v>
      </c>
      <c r="K320" s="5">
        <f ca="1">IFERROR(__xludf.DUMMYFUNCTION("""COMPUTED_VALUE"""),0)</f>
        <v>0</v>
      </c>
      <c r="L320" s="5">
        <f ca="1">IFERROR(__xludf.DUMMYFUNCTION("""COMPUTED_VALUE"""),1)</f>
        <v>1</v>
      </c>
      <c r="M320">
        <f ca="1">IFERROR(__xludf.DUMMYFUNCTION("""COMPUTED_VALUE"""),2)</f>
        <v>2</v>
      </c>
      <c r="N320" s="8"/>
    </row>
    <row r="321" spans="1:14" ht="12.45" hidden="1">
      <c r="A321" t="str">
        <f ca="1">IFERROR(__xludf.DUMMYFUNCTION("""COMPUTED_VALUE"""),"III-1-282")</f>
        <v>III-1-282</v>
      </c>
      <c r="B321" t="str">
        <f ca="1">IFERROR(__xludf.DUMMYFUNCTION("""COMPUTED_VALUE"""),"Ладыгина")</f>
        <v>Ладыгина</v>
      </c>
      <c r="C321" t="str">
        <f ca="1">IFERROR(__xludf.DUMMYFUNCTION("""COMPUTED_VALUE"""),"Маргарита")</f>
        <v>Маргарита</v>
      </c>
      <c r="D321" t="str">
        <f ca="1">IFERROR(__xludf.DUMMYFUNCTION("""COMPUTED_VALUE"""),"Школа Квадрант preLAB Постройка")</f>
        <v>Школа Квадрант preLAB Постройка</v>
      </c>
      <c r="E321" s="5">
        <f ca="1">IFERROR(__xludf.DUMMYFUNCTION("""COMPUTED_VALUE"""),1)</f>
        <v>1</v>
      </c>
      <c r="F321" s="5">
        <f ca="1">IFERROR(__xludf.DUMMYFUNCTION("""COMPUTED_VALUE"""),0)</f>
        <v>0</v>
      </c>
      <c r="G321" s="5">
        <f ca="1">IFERROR(__xludf.DUMMYFUNCTION("""COMPUTED_VALUE"""),0)</f>
        <v>0</v>
      </c>
      <c r="H321" s="5">
        <f ca="1">IFERROR(__xludf.DUMMYFUNCTION("""COMPUTED_VALUE"""),0)</f>
        <v>0</v>
      </c>
      <c r="I321" s="5">
        <f ca="1">IFERROR(__xludf.DUMMYFUNCTION("""COMPUTED_VALUE"""),0)</f>
        <v>0</v>
      </c>
      <c r="J321" s="5">
        <f ca="1">IFERROR(__xludf.DUMMYFUNCTION("""COMPUTED_VALUE"""),0)</f>
        <v>0</v>
      </c>
      <c r="K321" s="5">
        <f ca="1">IFERROR(__xludf.DUMMYFUNCTION("""COMPUTED_VALUE"""),0)</f>
        <v>0</v>
      </c>
      <c r="L321" s="5">
        <f ca="1">IFERROR(__xludf.DUMMYFUNCTION("""COMPUTED_VALUE"""),1)</f>
        <v>1</v>
      </c>
      <c r="M321">
        <f ca="1">IFERROR(__xludf.DUMMYFUNCTION("""COMPUTED_VALUE"""),2)</f>
        <v>2</v>
      </c>
      <c r="N321" s="8"/>
    </row>
    <row r="322" spans="1:14" ht="12.45" hidden="1">
      <c r="A322" t="str">
        <f ca="1">IFERROR(__xludf.DUMMYFUNCTION("""COMPUTED_VALUE"""),"V-1-531")</f>
        <v>V-1-531</v>
      </c>
      <c r="B322" t="str">
        <f ca="1">IFERROR(__xludf.DUMMYFUNCTION("""COMPUTED_VALUE"""),"Умяров")</f>
        <v>Умяров</v>
      </c>
      <c r="C322" t="str">
        <f ca="1">IFERROR(__xludf.DUMMYFUNCTION("""COMPUTED_VALUE"""),"Алексей")</f>
        <v>Алексей</v>
      </c>
      <c r="D322" t="str">
        <f ca="1">IFERROR(__xludf.DUMMYFUNCTION("""COMPUTED_VALUE"""),"Школа 407")</f>
        <v>Школа 407</v>
      </c>
      <c r="E322" s="5">
        <f ca="1">IFERROR(__xludf.DUMMYFUNCTION("""COMPUTED_VALUE"""),0)</f>
        <v>0</v>
      </c>
      <c r="F322" s="5">
        <f ca="1">IFERROR(__xludf.DUMMYFUNCTION("""COMPUTED_VALUE"""),0)</f>
        <v>0</v>
      </c>
      <c r="G322" s="5">
        <f ca="1">IFERROR(__xludf.DUMMYFUNCTION("""COMPUTED_VALUE"""),0)</f>
        <v>0</v>
      </c>
      <c r="H322" s="5">
        <f ca="1">IFERROR(__xludf.DUMMYFUNCTION("""COMPUTED_VALUE"""),1)</f>
        <v>1</v>
      </c>
      <c r="I322" s="5">
        <f ca="1">IFERROR(__xludf.DUMMYFUNCTION("""COMPUTED_VALUE"""),0)</f>
        <v>0</v>
      </c>
      <c r="J322" s="5">
        <f ca="1">IFERROR(__xludf.DUMMYFUNCTION("""COMPUTED_VALUE"""),0)</f>
        <v>0</v>
      </c>
      <c r="K322" s="5">
        <f ca="1">IFERROR(__xludf.DUMMYFUNCTION("""COMPUTED_VALUE"""),0)</f>
        <v>0</v>
      </c>
      <c r="L322" s="5">
        <f ca="1">IFERROR(__xludf.DUMMYFUNCTION("""COMPUTED_VALUE"""),1)</f>
        <v>1</v>
      </c>
      <c r="M322">
        <f ca="1">IFERROR(__xludf.DUMMYFUNCTION("""COMPUTED_VALUE"""),2)</f>
        <v>2</v>
      </c>
      <c r="N322" s="8"/>
    </row>
    <row r="323" spans="1:14" ht="12.45" hidden="1">
      <c r="A323" t="str">
        <f ca="1">IFERROR(__xludf.DUMMYFUNCTION("""COMPUTED_VALUE"""),"V-1-434")</f>
        <v>V-1-434</v>
      </c>
      <c r="B323" t="str">
        <f ca="1">IFERROR(__xludf.DUMMYFUNCTION("""COMPUTED_VALUE"""),"Раскин")</f>
        <v>Раскин</v>
      </c>
      <c r="C323" t="str">
        <f ca="1">IFERROR(__xludf.DUMMYFUNCTION("""COMPUTED_VALUE"""),"Данил")</f>
        <v>Данил</v>
      </c>
      <c r="D323" t="str">
        <f ca="1">IFERROR(__xludf.DUMMYFUNCTION("""COMPUTED_VALUE"""),"Школа Бугровская")</f>
        <v>Школа Бугровская</v>
      </c>
      <c r="E323" s="5">
        <f ca="1">IFERROR(__xludf.DUMMYFUNCTION("""COMPUTED_VALUE"""),1)</f>
        <v>1</v>
      </c>
      <c r="F323" s="5">
        <f ca="1">IFERROR(__xludf.DUMMYFUNCTION("""COMPUTED_VALUE"""),0)</f>
        <v>0</v>
      </c>
      <c r="G323" s="5">
        <f ca="1">IFERROR(__xludf.DUMMYFUNCTION("""COMPUTED_VALUE"""),0)</f>
        <v>0</v>
      </c>
      <c r="H323" s="5">
        <f ca="1">IFERROR(__xludf.DUMMYFUNCTION("""COMPUTED_VALUE"""),0)</f>
        <v>0</v>
      </c>
      <c r="I323" s="5">
        <f ca="1">IFERROR(__xludf.DUMMYFUNCTION("""COMPUTED_VALUE"""),0)</f>
        <v>0</v>
      </c>
      <c r="J323" s="5">
        <f ca="1">IFERROR(__xludf.DUMMYFUNCTION("""COMPUTED_VALUE"""),0)</f>
        <v>0</v>
      </c>
      <c r="K323" s="5">
        <f ca="1">IFERROR(__xludf.DUMMYFUNCTION("""COMPUTED_VALUE"""),0)</f>
        <v>0</v>
      </c>
      <c r="L323" s="5">
        <f ca="1">IFERROR(__xludf.DUMMYFUNCTION("""COMPUTED_VALUE"""),1)</f>
        <v>1</v>
      </c>
      <c r="M323">
        <f ca="1">IFERROR(__xludf.DUMMYFUNCTION("""COMPUTED_VALUE"""),2)</f>
        <v>2</v>
      </c>
      <c r="N323" s="8"/>
    </row>
    <row r="324" spans="1:14" ht="12.45" hidden="1">
      <c r="A324" t="str">
        <f ca="1">IFERROR(__xludf.DUMMYFUNCTION("""COMPUTED_VALUE"""),"III-1-213")</f>
        <v>III-1-213</v>
      </c>
      <c r="B324" t="str">
        <f ca="1">IFERROR(__xludf.DUMMYFUNCTION("""COMPUTED_VALUE"""),"Исмаилова")</f>
        <v>Исмаилова</v>
      </c>
      <c r="C324" t="str">
        <f ca="1">IFERROR(__xludf.DUMMYFUNCTION("""COMPUTED_VALUE"""),"Рушана")</f>
        <v>Рушана</v>
      </c>
      <c r="D324" t="str">
        <f ca="1">IFERROR(__xludf.DUMMYFUNCTION("""COMPUTED_VALUE"""),"Школа ГБОУ СОШ 113")</f>
        <v>Школа ГБОУ СОШ 113</v>
      </c>
      <c r="E324" s="5">
        <f ca="1">IFERROR(__xludf.DUMMYFUNCTION("""COMPUTED_VALUE"""),0)</f>
        <v>0</v>
      </c>
      <c r="F324" s="5">
        <f ca="1">IFERROR(__xludf.DUMMYFUNCTION("""COMPUTED_VALUE"""),0)</f>
        <v>0</v>
      </c>
      <c r="G324" s="5">
        <f ca="1">IFERROR(__xludf.DUMMYFUNCTION("""COMPUTED_VALUE"""),0)</f>
        <v>0</v>
      </c>
      <c r="H324" s="5">
        <f ca="1">IFERROR(__xludf.DUMMYFUNCTION("""COMPUTED_VALUE"""),0)</f>
        <v>0</v>
      </c>
      <c r="I324" s="5">
        <f ca="1">IFERROR(__xludf.DUMMYFUNCTION("""COMPUTED_VALUE"""),0)</f>
        <v>0</v>
      </c>
      <c r="J324" s="5">
        <f ca="1">IFERROR(__xludf.DUMMYFUNCTION("""COMPUTED_VALUE"""),1)</f>
        <v>1</v>
      </c>
      <c r="K324" s="5">
        <f ca="1">IFERROR(__xludf.DUMMYFUNCTION("""COMPUTED_VALUE"""),0)</f>
        <v>0</v>
      </c>
      <c r="L324" s="5">
        <f ca="1">IFERROR(__xludf.DUMMYFUNCTION("""COMPUTED_VALUE"""),1)</f>
        <v>1</v>
      </c>
      <c r="M324">
        <f ca="1">IFERROR(__xludf.DUMMYFUNCTION("""COMPUTED_VALUE"""),2)</f>
        <v>2</v>
      </c>
      <c r="N324" s="8"/>
    </row>
    <row r="325" spans="1:14" ht="12.45" hidden="1">
      <c r="A325" t="str">
        <f ca="1">IFERROR(__xludf.DUMMYFUNCTION("""COMPUTED_VALUE"""),"V-1-481")</f>
        <v>V-1-481</v>
      </c>
      <c r="B325" t="str">
        <f ca="1">IFERROR(__xludf.DUMMYFUNCTION("""COMPUTED_VALUE"""),"СОКУР")</f>
        <v>СОКУР</v>
      </c>
      <c r="C325" t="str">
        <f ca="1">IFERROR(__xludf.DUMMYFUNCTION("""COMPUTED_VALUE"""),"АЛЕКСАНДРА")</f>
        <v>АЛЕКСАНДРА</v>
      </c>
      <c r="D325" t="str">
        <f ca="1">IFERROR(__xludf.DUMMYFUNCTION("""COMPUTED_VALUE"""),"Школа 512")</f>
        <v>Школа 512</v>
      </c>
      <c r="E325" s="5">
        <f ca="1">IFERROR(__xludf.DUMMYFUNCTION("""COMPUTED_VALUE"""),0)</f>
        <v>0</v>
      </c>
      <c r="F325" s="5">
        <f ca="1">IFERROR(__xludf.DUMMYFUNCTION("""COMPUTED_VALUE"""),0)</f>
        <v>0</v>
      </c>
      <c r="G325" s="5">
        <f ca="1">IFERROR(__xludf.DUMMYFUNCTION("""COMPUTED_VALUE"""),0)</f>
        <v>0</v>
      </c>
      <c r="H325" s="5">
        <f ca="1">IFERROR(__xludf.DUMMYFUNCTION("""COMPUTED_VALUE"""),0)</f>
        <v>0</v>
      </c>
      <c r="I325" s="5">
        <f ca="1">IFERROR(__xludf.DUMMYFUNCTION("""COMPUTED_VALUE"""),0)</f>
        <v>0</v>
      </c>
      <c r="J325" s="5">
        <f ca="1">IFERROR(__xludf.DUMMYFUNCTION("""COMPUTED_VALUE"""),1)</f>
        <v>1</v>
      </c>
      <c r="K325" s="5">
        <f ca="1">IFERROR(__xludf.DUMMYFUNCTION("""COMPUTED_VALUE"""),0)</f>
        <v>0</v>
      </c>
      <c r="L325" s="5">
        <f ca="1">IFERROR(__xludf.DUMMYFUNCTION("""COMPUTED_VALUE"""),1)</f>
        <v>1</v>
      </c>
      <c r="M325">
        <f ca="1">IFERROR(__xludf.DUMMYFUNCTION("""COMPUTED_VALUE"""),2)</f>
        <v>2</v>
      </c>
      <c r="N325" s="8"/>
    </row>
    <row r="326" spans="1:14" ht="12.45" hidden="1">
      <c r="A326" t="str">
        <f ca="1">IFERROR(__xludf.DUMMYFUNCTION("""COMPUTED_VALUE"""),"V-1-323")</f>
        <v>V-1-323</v>
      </c>
      <c r="B326" t="str">
        <f ca="1">IFERROR(__xludf.DUMMYFUNCTION("""COMPUTED_VALUE"""),"Мещерякова")</f>
        <v>Мещерякова</v>
      </c>
      <c r="C326" t="str">
        <f ca="1">IFERROR(__xludf.DUMMYFUNCTION("""COMPUTED_VALUE"""),"Екатерина")</f>
        <v>Екатерина</v>
      </c>
      <c r="D326" t="str">
        <f ca="1">IFERROR(__xludf.DUMMYFUNCTION("""COMPUTED_VALUE"""),"Гимназия гимназия 248")</f>
        <v>Гимназия гимназия 248</v>
      </c>
      <c r="E326" s="5">
        <f ca="1">IFERROR(__xludf.DUMMYFUNCTION("""COMPUTED_VALUE"""),2)</f>
        <v>2</v>
      </c>
      <c r="F326" s="5">
        <f ca="1">IFERROR(__xludf.DUMMYFUNCTION("""COMPUTED_VALUE"""),0)</f>
        <v>0</v>
      </c>
      <c r="G326" s="5">
        <f ca="1">IFERROR(__xludf.DUMMYFUNCTION("""COMPUTED_VALUE"""),0)</f>
        <v>0</v>
      </c>
      <c r="H326" s="5">
        <f ca="1">IFERROR(__xludf.DUMMYFUNCTION("""COMPUTED_VALUE"""),0)</f>
        <v>0</v>
      </c>
      <c r="I326" s="5">
        <f ca="1">IFERROR(__xludf.DUMMYFUNCTION("""COMPUTED_VALUE"""),0)</f>
        <v>0</v>
      </c>
      <c r="J326" s="5">
        <f ca="1">IFERROR(__xludf.DUMMYFUNCTION("""COMPUTED_VALUE"""),0)</f>
        <v>0</v>
      </c>
      <c r="K326" s="5">
        <f ca="1">IFERROR(__xludf.DUMMYFUNCTION("""COMPUTED_VALUE"""),0)</f>
        <v>0</v>
      </c>
      <c r="L326" s="5">
        <f ca="1">IFERROR(__xludf.DUMMYFUNCTION("""COMPUTED_VALUE"""),0)</f>
        <v>0</v>
      </c>
      <c r="M326">
        <f ca="1">IFERROR(__xludf.DUMMYFUNCTION("""COMPUTED_VALUE"""),2)</f>
        <v>2</v>
      </c>
      <c r="N326" s="8"/>
    </row>
    <row r="327" spans="1:14" ht="12.45" hidden="1">
      <c r="A327" t="str">
        <f ca="1">IFERROR(__xludf.DUMMYFUNCTION("""COMPUTED_VALUE"""),"V-1-606")</f>
        <v>V-1-606</v>
      </c>
      <c r="B327" t="str">
        <f ca="1">IFERROR(__xludf.DUMMYFUNCTION("""COMPUTED_VALUE"""),"Шуляр")</f>
        <v>Шуляр</v>
      </c>
      <c r="C327" t="str">
        <f ca="1">IFERROR(__xludf.DUMMYFUNCTION("""COMPUTED_VALUE"""),"София")</f>
        <v>София</v>
      </c>
      <c r="D327" t="str">
        <f ca="1">IFERROR(__xludf.DUMMYFUNCTION("""COMPUTED_VALUE"""),"Школа 643")</f>
        <v>Школа 643</v>
      </c>
      <c r="E327" s="5">
        <f ca="1">IFERROR(__xludf.DUMMYFUNCTION("""COMPUTED_VALUE"""),1)</f>
        <v>1</v>
      </c>
      <c r="F327" s="5">
        <f ca="1">IFERROR(__xludf.DUMMYFUNCTION("""COMPUTED_VALUE"""),0)</f>
        <v>0</v>
      </c>
      <c r="G327" s="5">
        <f ca="1">IFERROR(__xludf.DUMMYFUNCTION("""COMPUTED_VALUE"""),0)</f>
        <v>0</v>
      </c>
      <c r="H327" s="5">
        <f ca="1">IFERROR(__xludf.DUMMYFUNCTION("""COMPUTED_VALUE"""),0)</f>
        <v>0</v>
      </c>
      <c r="I327" s="5">
        <f ca="1">IFERROR(__xludf.DUMMYFUNCTION("""COMPUTED_VALUE"""),0)</f>
        <v>0</v>
      </c>
      <c r="J327" s="5">
        <f ca="1">IFERROR(__xludf.DUMMYFUNCTION("""COMPUTED_VALUE"""),0)</f>
        <v>0</v>
      </c>
      <c r="K327" s="5">
        <f ca="1">IFERROR(__xludf.DUMMYFUNCTION("""COMPUTED_VALUE"""),0)</f>
        <v>0</v>
      </c>
      <c r="L327" s="5">
        <f ca="1">IFERROR(__xludf.DUMMYFUNCTION("""COMPUTED_VALUE"""),1)</f>
        <v>1</v>
      </c>
      <c r="M327">
        <f ca="1">IFERROR(__xludf.DUMMYFUNCTION("""COMPUTED_VALUE"""),2)</f>
        <v>2</v>
      </c>
      <c r="N327" s="8"/>
    </row>
    <row r="328" spans="1:14" ht="12.45" hidden="1">
      <c r="A328" t="str">
        <f ca="1">IFERROR(__xludf.DUMMYFUNCTION("""COMPUTED_VALUE"""),"V-1-416")</f>
        <v>V-1-416</v>
      </c>
      <c r="B328" t="str">
        <f ca="1">IFERROR(__xludf.DUMMYFUNCTION("""COMPUTED_VALUE"""),"Попов")</f>
        <v>Попов</v>
      </c>
      <c r="C328" t="str">
        <f ca="1">IFERROR(__xludf.DUMMYFUNCTION("""COMPUTED_VALUE"""),"Тихон")</f>
        <v>Тихон</v>
      </c>
      <c r="D328" t="str">
        <f ca="1">IFERROR(__xludf.DUMMYFUNCTION("""COMPUTED_VALUE"""),"Школа 77")</f>
        <v>Школа 77</v>
      </c>
      <c r="E328" s="5">
        <f ca="1">IFERROR(__xludf.DUMMYFUNCTION("""COMPUTED_VALUE"""),1)</f>
        <v>1</v>
      </c>
      <c r="F328" s="5">
        <f ca="1">IFERROR(__xludf.DUMMYFUNCTION("""COMPUTED_VALUE"""),0)</f>
        <v>0</v>
      </c>
      <c r="G328" s="5">
        <f ca="1">IFERROR(__xludf.DUMMYFUNCTION("""COMPUTED_VALUE"""),0)</f>
        <v>0</v>
      </c>
      <c r="H328" s="5">
        <f ca="1">IFERROR(__xludf.DUMMYFUNCTION("""COMPUTED_VALUE"""),0)</f>
        <v>0</v>
      </c>
      <c r="I328" s="5">
        <f ca="1">IFERROR(__xludf.DUMMYFUNCTION("""COMPUTED_VALUE"""),0)</f>
        <v>0</v>
      </c>
      <c r="J328" s="5">
        <f ca="1">IFERROR(__xludf.DUMMYFUNCTION("""COMPUTED_VALUE"""),0)</f>
        <v>0</v>
      </c>
      <c r="K328" s="5">
        <f ca="1">IFERROR(__xludf.DUMMYFUNCTION("""COMPUTED_VALUE"""),0)</f>
        <v>0</v>
      </c>
      <c r="L328" s="5">
        <f ca="1">IFERROR(__xludf.DUMMYFUNCTION("""COMPUTED_VALUE"""),1)</f>
        <v>1</v>
      </c>
      <c r="M328">
        <f ca="1">IFERROR(__xludf.DUMMYFUNCTION("""COMPUTED_VALUE"""),2)</f>
        <v>2</v>
      </c>
      <c r="N328" s="8"/>
    </row>
    <row r="329" spans="1:14" ht="12.45" hidden="1">
      <c r="A329" t="str">
        <f ca="1">IFERROR(__xludf.DUMMYFUNCTION("""COMPUTED_VALUE"""),"III-1-148")</f>
        <v>III-1-148</v>
      </c>
      <c r="B329" t="str">
        <f ca="1">IFERROR(__xludf.DUMMYFUNCTION("""COMPUTED_VALUE"""),"Гусева")</f>
        <v>Гусева</v>
      </c>
      <c r="C329" t="str">
        <f ca="1">IFERROR(__xludf.DUMMYFUNCTION("""COMPUTED_VALUE"""),"Янина")</f>
        <v>Янина</v>
      </c>
      <c r="D329" t="str">
        <f ca="1">IFERROR(__xludf.DUMMYFUNCTION("""COMPUTED_VALUE"""),"Школа 557")</f>
        <v>Школа 557</v>
      </c>
      <c r="E329" s="5">
        <f ca="1">IFERROR(__xludf.DUMMYFUNCTION("""COMPUTED_VALUE"""),1)</f>
        <v>1</v>
      </c>
      <c r="F329" s="5"/>
      <c r="G329" s="5"/>
      <c r="H329" s="5"/>
      <c r="I329" s="5">
        <f ca="1">IFERROR(__xludf.DUMMYFUNCTION("""COMPUTED_VALUE"""),0)</f>
        <v>0</v>
      </c>
      <c r="J329" s="5">
        <f ca="1">IFERROR(__xludf.DUMMYFUNCTION("""COMPUTED_VALUE"""),0)</f>
        <v>0</v>
      </c>
      <c r="K329" s="5">
        <f ca="1">IFERROR(__xludf.DUMMYFUNCTION("""COMPUTED_VALUE"""),0)</f>
        <v>0</v>
      </c>
      <c r="L329" s="5">
        <f ca="1">IFERROR(__xludf.DUMMYFUNCTION("""COMPUTED_VALUE"""),1)</f>
        <v>1</v>
      </c>
      <c r="M329">
        <f ca="1">IFERROR(__xludf.DUMMYFUNCTION("""COMPUTED_VALUE"""),2)</f>
        <v>2</v>
      </c>
      <c r="N329" s="8"/>
    </row>
    <row r="330" spans="1:14" ht="12.45" hidden="1">
      <c r="A330" t="str">
        <f ca="1">IFERROR(__xludf.DUMMYFUNCTION("""COMPUTED_VALUE"""),"III-1-116")</f>
        <v>III-1-116</v>
      </c>
      <c r="B330" t="str">
        <f ca="1">IFERROR(__xludf.DUMMYFUNCTION("""COMPUTED_VALUE"""),"Гайжин")</f>
        <v>Гайжин</v>
      </c>
      <c r="C330" t="str">
        <f ca="1">IFERROR(__xludf.DUMMYFUNCTION("""COMPUTED_VALUE"""),"Артём")</f>
        <v>Артём</v>
      </c>
      <c r="D330" t="str">
        <f ca="1">IFERROR(__xludf.DUMMYFUNCTION("""COMPUTED_VALUE"""),"Школа 213")</f>
        <v>Школа 213</v>
      </c>
      <c r="E330" s="5">
        <f ca="1">IFERROR(__xludf.DUMMYFUNCTION("""COMPUTED_VALUE"""),0)</f>
        <v>0</v>
      </c>
      <c r="F330" s="5">
        <f ca="1">IFERROR(__xludf.DUMMYFUNCTION("""COMPUTED_VALUE"""),0)</f>
        <v>0</v>
      </c>
      <c r="G330" s="5">
        <f ca="1">IFERROR(__xludf.DUMMYFUNCTION("""COMPUTED_VALUE"""),0)</f>
        <v>0</v>
      </c>
      <c r="H330" s="5">
        <f ca="1">IFERROR(__xludf.DUMMYFUNCTION("""COMPUTED_VALUE"""),1)</f>
        <v>1</v>
      </c>
      <c r="I330" s="5">
        <f ca="1">IFERROR(__xludf.DUMMYFUNCTION("""COMPUTED_VALUE"""),0)</f>
        <v>0</v>
      </c>
      <c r="J330" s="5">
        <f ca="1">IFERROR(__xludf.DUMMYFUNCTION("""COMPUTED_VALUE"""),0)</f>
        <v>0</v>
      </c>
      <c r="K330" s="5">
        <f ca="1">IFERROR(__xludf.DUMMYFUNCTION("""COMPUTED_VALUE"""),0)</f>
        <v>0</v>
      </c>
      <c r="L330" s="5">
        <f ca="1">IFERROR(__xludf.DUMMYFUNCTION("""COMPUTED_VALUE"""),1)</f>
        <v>1</v>
      </c>
      <c r="M330">
        <f ca="1">IFERROR(__xludf.DUMMYFUNCTION("""COMPUTED_VALUE"""),2)</f>
        <v>2</v>
      </c>
      <c r="N330" s="8"/>
    </row>
    <row r="331" spans="1:14" ht="12.45" hidden="1">
      <c r="A331" t="str">
        <f ca="1">IFERROR(__xludf.DUMMYFUNCTION("""COMPUTED_VALUE"""),"III-1-287")</f>
        <v>III-1-287</v>
      </c>
      <c r="B331" t="str">
        <f ca="1">IFERROR(__xludf.DUMMYFUNCTION("""COMPUTED_VALUE"""),"Левакова")</f>
        <v>Левакова</v>
      </c>
      <c r="C331" t="str">
        <f ca="1">IFERROR(__xludf.DUMMYFUNCTION("""COMPUTED_VALUE"""),"Светлана")</f>
        <v>Светлана</v>
      </c>
      <c r="D331" t="str">
        <f ca="1">IFERROR(__xludf.DUMMYFUNCTION("""COMPUTED_VALUE"""),"Гимназия 652")</f>
        <v>Гимназия 652</v>
      </c>
      <c r="E331" s="5">
        <f ca="1">IFERROR(__xludf.DUMMYFUNCTION("""COMPUTED_VALUE"""),1)</f>
        <v>1</v>
      </c>
      <c r="F331" s="5">
        <f ca="1">IFERROR(__xludf.DUMMYFUNCTION("""COMPUTED_VALUE"""),0)</f>
        <v>0</v>
      </c>
      <c r="G331" s="5">
        <f ca="1">IFERROR(__xludf.DUMMYFUNCTION("""COMPUTED_VALUE"""),0)</f>
        <v>0</v>
      </c>
      <c r="H331" s="5">
        <f ca="1">IFERROR(__xludf.DUMMYFUNCTION("""COMPUTED_VALUE"""),0)</f>
        <v>0</v>
      </c>
      <c r="I331" s="5">
        <f ca="1">IFERROR(__xludf.DUMMYFUNCTION("""COMPUTED_VALUE"""),1)</f>
        <v>1</v>
      </c>
      <c r="J331" s="5">
        <f ca="1">IFERROR(__xludf.DUMMYFUNCTION("""COMPUTED_VALUE"""),0)</f>
        <v>0</v>
      </c>
      <c r="K331" s="5">
        <f ca="1">IFERROR(__xludf.DUMMYFUNCTION("""COMPUTED_VALUE"""),0)</f>
        <v>0</v>
      </c>
      <c r="L331" s="5">
        <f ca="1">IFERROR(__xludf.DUMMYFUNCTION("""COMPUTED_VALUE"""),0)</f>
        <v>0</v>
      </c>
      <c r="M331">
        <f ca="1">IFERROR(__xludf.DUMMYFUNCTION("""COMPUTED_VALUE"""),2)</f>
        <v>2</v>
      </c>
      <c r="N331" s="8"/>
    </row>
    <row r="332" spans="1:14" ht="12.45" hidden="1">
      <c r="A332" t="str">
        <f ca="1">IFERROR(__xludf.DUMMYFUNCTION("""COMPUTED_VALUE"""),"V-1-345")</f>
        <v>V-1-345</v>
      </c>
      <c r="B332" t="str">
        <f ca="1">IFERROR(__xludf.DUMMYFUNCTION("""COMPUTED_VALUE"""),"Мухин")</f>
        <v>Мухин</v>
      </c>
      <c r="C332" t="str">
        <f ca="1">IFERROR(__xludf.DUMMYFUNCTION("""COMPUTED_VALUE"""),"Михаил")</f>
        <v>Михаил</v>
      </c>
      <c r="D332" t="str">
        <f ca="1">IFERROR(__xludf.DUMMYFUNCTION("""COMPUTED_VALUE"""),"Гимназия 107")</f>
        <v>Гимназия 107</v>
      </c>
      <c r="E332" s="5">
        <f ca="1">IFERROR(__xludf.DUMMYFUNCTION("""COMPUTED_VALUE"""),2)</f>
        <v>2</v>
      </c>
      <c r="F332" s="5">
        <f ca="1">IFERROR(__xludf.DUMMYFUNCTION("""COMPUTED_VALUE"""),0)</f>
        <v>0</v>
      </c>
      <c r="G332" s="5">
        <f ca="1">IFERROR(__xludf.DUMMYFUNCTION("""COMPUTED_VALUE"""),0)</f>
        <v>0</v>
      </c>
      <c r="H332" s="5">
        <f ca="1">IFERROR(__xludf.DUMMYFUNCTION("""COMPUTED_VALUE"""),0)</f>
        <v>0</v>
      </c>
      <c r="I332" s="5">
        <f ca="1">IFERROR(__xludf.DUMMYFUNCTION("""COMPUTED_VALUE"""),0)</f>
        <v>0</v>
      </c>
      <c r="J332" s="5">
        <f ca="1">IFERROR(__xludf.DUMMYFUNCTION("""COMPUTED_VALUE"""),0)</f>
        <v>0</v>
      </c>
      <c r="K332" s="5">
        <f ca="1">IFERROR(__xludf.DUMMYFUNCTION("""COMPUTED_VALUE"""),0)</f>
        <v>0</v>
      </c>
      <c r="L332" s="5">
        <f ca="1">IFERROR(__xludf.DUMMYFUNCTION("""COMPUTED_VALUE"""),0)</f>
        <v>0</v>
      </c>
      <c r="M332">
        <f ca="1">IFERROR(__xludf.DUMMYFUNCTION("""COMPUTED_VALUE"""),2)</f>
        <v>2</v>
      </c>
      <c r="N332" s="8"/>
    </row>
    <row r="333" spans="1:14" ht="12.45" hidden="1">
      <c r="A333" t="str">
        <f ca="1">IFERROR(__xludf.DUMMYFUNCTION("""COMPUTED_VALUE"""),"V-1-578")</f>
        <v>V-1-578</v>
      </c>
      <c r="B333" t="str">
        <f ca="1">IFERROR(__xludf.DUMMYFUNCTION("""COMPUTED_VALUE"""),"Чернышева")</f>
        <v>Чернышева</v>
      </c>
      <c r="C333" t="str">
        <f ca="1">IFERROR(__xludf.DUMMYFUNCTION("""COMPUTED_VALUE"""),"Анастасия")</f>
        <v>Анастасия</v>
      </c>
      <c r="D333" t="str">
        <f ca="1">IFERROR(__xludf.DUMMYFUNCTION("""COMPUTED_VALUE"""),"Школа 630")</f>
        <v>Школа 630</v>
      </c>
      <c r="E333" s="5">
        <f ca="1">IFERROR(__xludf.DUMMYFUNCTION("""COMPUTED_VALUE"""),1)</f>
        <v>1</v>
      </c>
      <c r="F333" s="5"/>
      <c r="G333" s="5">
        <f ca="1">IFERROR(__xludf.DUMMYFUNCTION("""COMPUTED_VALUE"""),0)</f>
        <v>0</v>
      </c>
      <c r="H333" s="5">
        <f ca="1">IFERROR(__xludf.DUMMYFUNCTION("""COMPUTED_VALUE"""),0)</f>
        <v>0</v>
      </c>
      <c r="I333" s="5">
        <f ca="1">IFERROR(__xludf.DUMMYFUNCTION("""COMPUTED_VALUE"""),0)</f>
        <v>0</v>
      </c>
      <c r="J333" s="5">
        <f ca="1">IFERROR(__xludf.DUMMYFUNCTION("""COMPUTED_VALUE"""),0)</f>
        <v>0</v>
      </c>
      <c r="K333" s="5">
        <f ca="1">IFERROR(__xludf.DUMMYFUNCTION("""COMPUTED_VALUE"""),0)</f>
        <v>0</v>
      </c>
      <c r="L333" s="5">
        <f ca="1">IFERROR(__xludf.DUMMYFUNCTION("""COMPUTED_VALUE"""),1)</f>
        <v>1</v>
      </c>
      <c r="M333">
        <f ca="1">IFERROR(__xludf.DUMMYFUNCTION("""COMPUTED_VALUE"""),2)</f>
        <v>2</v>
      </c>
      <c r="N333" s="8"/>
    </row>
    <row r="334" spans="1:14" ht="12.45" hidden="1">
      <c r="A334" t="str">
        <f ca="1">IFERROR(__xludf.DUMMYFUNCTION("""COMPUTED_VALUE"""),"III-1-090")</f>
        <v>III-1-090</v>
      </c>
      <c r="B334" t="str">
        <f ca="1">IFERROR(__xludf.DUMMYFUNCTION("""COMPUTED_VALUE"""),"Васильева")</f>
        <v>Васильева</v>
      </c>
      <c r="C334" t="str">
        <f ca="1">IFERROR(__xludf.DUMMYFUNCTION("""COMPUTED_VALUE"""),"Юлиана")</f>
        <v>Юлиана</v>
      </c>
      <c r="D334" t="str">
        <f ca="1">IFERROR(__xludf.DUMMYFUNCTION("""COMPUTED_VALUE"""),"Школа 18")</f>
        <v>Школа 18</v>
      </c>
      <c r="E334" s="5">
        <f ca="1">IFERROR(__xludf.DUMMYFUNCTION("""COMPUTED_VALUE"""),1)</f>
        <v>1</v>
      </c>
      <c r="F334" s="5">
        <f ca="1">IFERROR(__xludf.DUMMYFUNCTION("""COMPUTED_VALUE"""),0)</f>
        <v>0</v>
      </c>
      <c r="G334" s="5">
        <f ca="1">IFERROR(__xludf.DUMMYFUNCTION("""COMPUTED_VALUE"""),0)</f>
        <v>0</v>
      </c>
      <c r="H334" s="5"/>
      <c r="I334" s="5"/>
      <c r="J334" s="5">
        <f ca="1">IFERROR(__xludf.DUMMYFUNCTION("""COMPUTED_VALUE"""),0)</f>
        <v>0</v>
      </c>
      <c r="K334" s="5"/>
      <c r="L334" s="5">
        <f ca="1">IFERROR(__xludf.DUMMYFUNCTION("""COMPUTED_VALUE"""),1)</f>
        <v>1</v>
      </c>
      <c r="M334">
        <f ca="1">IFERROR(__xludf.DUMMYFUNCTION("""COMPUTED_VALUE"""),2)</f>
        <v>2</v>
      </c>
      <c r="N334" s="8"/>
    </row>
    <row r="335" spans="1:14" ht="12.45" hidden="1">
      <c r="A335" t="str">
        <f ca="1">IFERROR(__xludf.DUMMYFUNCTION("""COMPUTED_VALUE"""),"III-1-070")</f>
        <v>III-1-070</v>
      </c>
      <c r="B335" t="str">
        <f ca="1">IFERROR(__xludf.DUMMYFUNCTION("""COMPUTED_VALUE"""),"Боровских")</f>
        <v>Боровских</v>
      </c>
      <c r="C335" t="str">
        <f ca="1">IFERROR(__xludf.DUMMYFUNCTION("""COMPUTED_VALUE"""),"Игорь")</f>
        <v>Игорь</v>
      </c>
      <c r="D335" t="str">
        <f ca="1">IFERROR(__xludf.DUMMYFUNCTION("""COMPUTED_VALUE"""),"Школа 494")</f>
        <v>Школа 494</v>
      </c>
      <c r="E335" s="5">
        <f ca="1">IFERROR(__xludf.DUMMYFUNCTION("""COMPUTED_VALUE"""),1)</f>
        <v>1</v>
      </c>
      <c r="F335" s="5">
        <f ca="1">IFERROR(__xludf.DUMMYFUNCTION("""COMPUTED_VALUE"""),0)</f>
        <v>0</v>
      </c>
      <c r="G335" s="5">
        <f ca="1">IFERROR(__xludf.DUMMYFUNCTION("""COMPUTED_VALUE"""),0)</f>
        <v>0</v>
      </c>
      <c r="H335" s="5">
        <f ca="1">IFERROR(__xludf.DUMMYFUNCTION("""COMPUTED_VALUE"""),0)</f>
        <v>0</v>
      </c>
      <c r="I335" s="5">
        <f ca="1">IFERROR(__xludf.DUMMYFUNCTION("""COMPUTED_VALUE"""),0)</f>
        <v>0</v>
      </c>
      <c r="J335" s="5">
        <f ca="1">IFERROR(__xludf.DUMMYFUNCTION("""COMPUTED_VALUE"""),0)</f>
        <v>0</v>
      </c>
      <c r="K335" s="5">
        <f ca="1">IFERROR(__xludf.DUMMYFUNCTION("""COMPUTED_VALUE"""),0)</f>
        <v>0</v>
      </c>
      <c r="L335" s="5">
        <f ca="1">IFERROR(__xludf.DUMMYFUNCTION("""COMPUTED_VALUE"""),1)</f>
        <v>1</v>
      </c>
      <c r="M335">
        <f ca="1">IFERROR(__xludf.DUMMYFUNCTION("""COMPUTED_VALUE"""),2)</f>
        <v>2</v>
      </c>
      <c r="N335" s="8"/>
    </row>
    <row r="336" spans="1:14" ht="12.45" hidden="1">
      <c r="A336" t="str">
        <f ca="1">IFERROR(__xludf.DUMMYFUNCTION("""COMPUTED_VALUE"""),"V-1-569")</f>
        <v>V-1-569</v>
      </c>
      <c r="B336" t="str">
        <f ca="1">IFERROR(__xludf.DUMMYFUNCTION("""COMPUTED_VALUE"""),"Хурсан")</f>
        <v>Хурсан</v>
      </c>
      <c r="C336" t="str">
        <f ca="1">IFERROR(__xludf.DUMMYFUNCTION("""COMPUTED_VALUE"""),"Кирилл")</f>
        <v>Кирилл</v>
      </c>
      <c r="D336" t="str">
        <f ca="1">IFERROR(__xludf.DUMMYFUNCTION("""COMPUTED_VALUE"""),"Школа 65")</f>
        <v>Школа 65</v>
      </c>
      <c r="E336" s="5">
        <f ca="1">IFERROR(__xludf.DUMMYFUNCTION("""COMPUTED_VALUE"""),0)</f>
        <v>0</v>
      </c>
      <c r="F336" s="5"/>
      <c r="G336" s="5"/>
      <c r="H336" s="5">
        <f ca="1">IFERROR(__xludf.DUMMYFUNCTION("""COMPUTED_VALUE"""),0)</f>
        <v>0</v>
      </c>
      <c r="I336" s="5">
        <f ca="1">IFERROR(__xludf.DUMMYFUNCTION("""COMPUTED_VALUE"""),0)</f>
        <v>0</v>
      </c>
      <c r="J336" s="5">
        <f ca="1">IFERROR(__xludf.DUMMYFUNCTION("""COMPUTED_VALUE"""),0)</f>
        <v>0</v>
      </c>
      <c r="K336" s="5">
        <f ca="1">IFERROR(__xludf.DUMMYFUNCTION("""COMPUTED_VALUE"""),0)</f>
        <v>0</v>
      </c>
      <c r="L336" s="5">
        <f ca="1">IFERROR(__xludf.DUMMYFUNCTION("""COMPUTED_VALUE"""),1)</f>
        <v>1</v>
      </c>
      <c r="M336">
        <f ca="1">IFERROR(__xludf.DUMMYFUNCTION("""COMPUTED_VALUE"""),1)</f>
        <v>1</v>
      </c>
      <c r="N336" s="8"/>
    </row>
    <row r="337" spans="1:14" ht="12.45" hidden="1">
      <c r="A337" t="str">
        <f ca="1">IFERROR(__xludf.DUMMYFUNCTION("""COMPUTED_VALUE"""),"III-1-129")</f>
        <v>III-1-129</v>
      </c>
      <c r="B337" t="str">
        <f ca="1">IFERROR(__xludf.DUMMYFUNCTION("""COMPUTED_VALUE"""),"Голобородова")</f>
        <v>Голобородова</v>
      </c>
      <c r="C337" t="str">
        <f ca="1">IFERROR(__xludf.DUMMYFUNCTION("""COMPUTED_VALUE"""),"Варвара")</f>
        <v>Варвара</v>
      </c>
      <c r="D337" t="str">
        <f ca="1">IFERROR(__xludf.DUMMYFUNCTION("""COMPUTED_VALUE"""),"Лицей 179")</f>
        <v>Лицей 179</v>
      </c>
      <c r="E337" s="5">
        <f ca="1">IFERROR(__xludf.DUMMYFUNCTION("""COMPUTED_VALUE"""),0)</f>
        <v>0</v>
      </c>
      <c r="F337" s="5">
        <f ca="1">IFERROR(__xludf.DUMMYFUNCTION("""COMPUTED_VALUE"""),0)</f>
        <v>0</v>
      </c>
      <c r="G337" s="5">
        <f ca="1">IFERROR(__xludf.DUMMYFUNCTION("""COMPUTED_VALUE"""),0)</f>
        <v>0</v>
      </c>
      <c r="H337" s="5">
        <f ca="1">IFERROR(__xludf.DUMMYFUNCTION("""COMPUTED_VALUE"""),0)</f>
        <v>0</v>
      </c>
      <c r="I337" s="5">
        <f ca="1">IFERROR(__xludf.DUMMYFUNCTION("""COMPUTED_VALUE"""),0)</f>
        <v>0</v>
      </c>
      <c r="J337" s="5">
        <f ca="1">IFERROR(__xludf.DUMMYFUNCTION("""COMPUTED_VALUE"""),0)</f>
        <v>0</v>
      </c>
      <c r="K337" s="5">
        <f ca="1">IFERROR(__xludf.DUMMYFUNCTION("""COMPUTED_VALUE"""),0)</f>
        <v>0</v>
      </c>
      <c r="L337" s="5">
        <f ca="1">IFERROR(__xludf.DUMMYFUNCTION("""COMPUTED_VALUE"""),1)</f>
        <v>1</v>
      </c>
      <c r="M337">
        <f ca="1">IFERROR(__xludf.DUMMYFUNCTION("""COMPUTED_VALUE"""),1)</f>
        <v>1</v>
      </c>
      <c r="N337" s="8"/>
    </row>
    <row r="338" spans="1:14" ht="12.45" hidden="1">
      <c r="A338" t="str">
        <f ca="1">IFERROR(__xludf.DUMMYFUNCTION("""COMPUTED_VALUE"""),"V-1-608")</f>
        <v>V-1-608</v>
      </c>
      <c r="B338" t="str">
        <f ca="1">IFERROR(__xludf.DUMMYFUNCTION("""COMPUTED_VALUE"""),"Щербонос")</f>
        <v>Щербонос</v>
      </c>
      <c r="C338" t="str">
        <f ca="1">IFERROR(__xludf.DUMMYFUNCTION("""COMPUTED_VALUE"""),"Ярослав")</f>
        <v>Ярослав</v>
      </c>
      <c r="D338" t="str">
        <f ca="1">IFERROR(__xludf.DUMMYFUNCTION("""COMPUTED_VALUE"""),"Школа 630")</f>
        <v>Школа 630</v>
      </c>
      <c r="E338" s="5"/>
      <c r="F338" s="5"/>
      <c r="G338" s="5"/>
      <c r="H338" s="5"/>
      <c r="I338" s="5"/>
      <c r="J338" s="5"/>
      <c r="K338" s="5"/>
      <c r="L338" s="5">
        <f ca="1">IFERROR(__xludf.DUMMYFUNCTION("""COMPUTED_VALUE"""),1)</f>
        <v>1</v>
      </c>
      <c r="M338">
        <f ca="1">IFERROR(__xludf.DUMMYFUNCTION("""COMPUTED_VALUE"""),1)</f>
        <v>1</v>
      </c>
      <c r="N338" s="8"/>
    </row>
    <row r="339" spans="1:14" ht="12.45" hidden="1">
      <c r="A339" t="str">
        <f ca="1">IFERROR(__xludf.DUMMYFUNCTION("""COMPUTED_VALUE"""),"III-1-251")</f>
        <v>III-1-251</v>
      </c>
      <c r="B339" t="str">
        <f ca="1">IFERROR(__xludf.DUMMYFUNCTION("""COMPUTED_VALUE"""),"Коровкина")</f>
        <v>Коровкина</v>
      </c>
      <c r="C339" t="str">
        <f ca="1">IFERROR(__xludf.DUMMYFUNCTION("""COMPUTED_VALUE"""),"Ксения")</f>
        <v>Ксения</v>
      </c>
      <c r="D339" t="str">
        <f ca="1">IFERROR(__xludf.DUMMYFUNCTION("""COMPUTED_VALUE"""),"Школа 246")</f>
        <v>Школа 246</v>
      </c>
      <c r="E339" s="5">
        <f ca="1">IFERROR(__xludf.DUMMYFUNCTION("""COMPUTED_VALUE"""),0)</f>
        <v>0</v>
      </c>
      <c r="F339" s="5">
        <f ca="1">IFERROR(__xludf.DUMMYFUNCTION("""COMPUTED_VALUE"""),0)</f>
        <v>0</v>
      </c>
      <c r="G339" s="5">
        <f ca="1">IFERROR(__xludf.DUMMYFUNCTION("""COMPUTED_VALUE"""),0)</f>
        <v>0</v>
      </c>
      <c r="H339" s="5">
        <f ca="1">IFERROR(__xludf.DUMMYFUNCTION("""COMPUTED_VALUE"""),0)</f>
        <v>0</v>
      </c>
      <c r="I339" s="5">
        <f ca="1">IFERROR(__xludf.DUMMYFUNCTION("""COMPUTED_VALUE"""),0)</f>
        <v>0</v>
      </c>
      <c r="J339" s="5">
        <f ca="1">IFERROR(__xludf.DUMMYFUNCTION("""COMPUTED_VALUE"""),0)</f>
        <v>0</v>
      </c>
      <c r="K339" s="5">
        <f ca="1">IFERROR(__xludf.DUMMYFUNCTION("""COMPUTED_VALUE"""),0)</f>
        <v>0</v>
      </c>
      <c r="L339" s="5">
        <f ca="1">IFERROR(__xludf.DUMMYFUNCTION("""COMPUTED_VALUE"""),1)</f>
        <v>1</v>
      </c>
      <c r="M339">
        <f ca="1">IFERROR(__xludf.DUMMYFUNCTION("""COMPUTED_VALUE"""),1)</f>
        <v>1</v>
      </c>
      <c r="N339" s="8"/>
    </row>
    <row r="340" spans="1:14" ht="12.45" hidden="1">
      <c r="A340" t="str">
        <f ca="1">IFERROR(__xludf.DUMMYFUNCTION("""COMPUTED_VALUE"""),"V-1-398")</f>
        <v>V-1-398</v>
      </c>
      <c r="B340" t="str">
        <f ca="1">IFERROR(__xludf.DUMMYFUNCTION("""COMPUTED_VALUE"""),"Пикта")</f>
        <v>Пикта</v>
      </c>
      <c r="C340" t="str">
        <f ca="1">IFERROR(__xludf.DUMMYFUNCTION("""COMPUTED_VALUE"""),"Никита")</f>
        <v>Никита</v>
      </c>
      <c r="D340" t="str">
        <f ca="1">IFERROR(__xludf.DUMMYFUNCTION("""COMPUTED_VALUE"""),"Школа 328")</f>
        <v>Школа 328</v>
      </c>
      <c r="E340" s="5">
        <f ca="1">IFERROR(__xludf.DUMMYFUNCTION("""COMPUTED_VALUE"""),0)</f>
        <v>0</v>
      </c>
      <c r="F340" s="5">
        <f ca="1">IFERROR(__xludf.DUMMYFUNCTION("""COMPUTED_VALUE"""),0)</f>
        <v>0</v>
      </c>
      <c r="G340" s="5">
        <f ca="1">IFERROR(__xludf.DUMMYFUNCTION("""COMPUTED_VALUE"""),0)</f>
        <v>0</v>
      </c>
      <c r="H340" s="5">
        <f ca="1">IFERROR(__xludf.DUMMYFUNCTION("""COMPUTED_VALUE"""),0)</f>
        <v>0</v>
      </c>
      <c r="I340" s="5">
        <f ca="1">IFERROR(__xludf.DUMMYFUNCTION("""COMPUTED_VALUE"""),0)</f>
        <v>0</v>
      </c>
      <c r="J340" s="5">
        <f ca="1">IFERROR(__xludf.DUMMYFUNCTION("""COMPUTED_VALUE"""),0)</f>
        <v>0</v>
      </c>
      <c r="K340" s="5">
        <f ca="1">IFERROR(__xludf.DUMMYFUNCTION("""COMPUTED_VALUE"""),0)</f>
        <v>0</v>
      </c>
      <c r="L340" s="5">
        <f ca="1">IFERROR(__xludf.DUMMYFUNCTION("""COMPUTED_VALUE"""),1)</f>
        <v>1</v>
      </c>
      <c r="M340">
        <f ca="1">IFERROR(__xludf.DUMMYFUNCTION("""COMPUTED_VALUE"""),1)</f>
        <v>1</v>
      </c>
      <c r="N340" s="8"/>
    </row>
    <row r="341" spans="1:14" ht="12.45" hidden="1">
      <c r="A341" t="str">
        <f ca="1">IFERROR(__xludf.DUMMYFUNCTION("""COMPUTED_VALUE"""),"V-1-590")</f>
        <v>V-1-590</v>
      </c>
      <c r="B341" t="str">
        <f ca="1">IFERROR(__xludf.DUMMYFUNCTION("""COMPUTED_VALUE"""),"Шаталов")</f>
        <v>Шаталов</v>
      </c>
      <c r="C341" t="str">
        <f ca="1">IFERROR(__xludf.DUMMYFUNCTION("""COMPUTED_VALUE"""),"Никита")</f>
        <v>Никита</v>
      </c>
      <c r="D341" t="str">
        <f ca="1">IFERROR(__xludf.DUMMYFUNCTION("""COMPUTED_VALUE"""),"Лицей 344")</f>
        <v>Лицей 344</v>
      </c>
      <c r="E341" s="5">
        <f ca="1">IFERROR(__xludf.DUMMYFUNCTION("""COMPUTED_VALUE"""),0)</f>
        <v>0</v>
      </c>
      <c r="F341" s="5">
        <f ca="1">IFERROR(__xludf.DUMMYFUNCTION("""COMPUTED_VALUE"""),0)</f>
        <v>0</v>
      </c>
      <c r="G341" s="5">
        <f ca="1">IFERROR(__xludf.DUMMYFUNCTION("""COMPUTED_VALUE"""),0)</f>
        <v>0</v>
      </c>
      <c r="H341" s="5">
        <f ca="1">IFERROR(__xludf.DUMMYFUNCTION("""COMPUTED_VALUE"""),0)</f>
        <v>0</v>
      </c>
      <c r="I341" s="5">
        <f ca="1">IFERROR(__xludf.DUMMYFUNCTION("""COMPUTED_VALUE"""),0)</f>
        <v>0</v>
      </c>
      <c r="J341" s="5">
        <f ca="1">IFERROR(__xludf.DUMMYFUNCTION("""COMPUTED_VALUE"""),0)</f>
        <v>0</v>
      </c>
      <c r="K341" s="5">
        <f ca="1">IFERROR(__xludf.DUMMYFUNCTION("""COMPUTED_VALUE"""),0)</f>
        <v>0</v>
      </c>
      <c r="L341" s="5">
        <f ca="1">IFERROR(__xludf.DUMMYFUNCTION("""COMPUTED_VALUE"""),1)</f>
        <v>1</v>
      </c>
      <c r="M341">
        <f ca="1">IFERROR(__xludf.DUMMYFUNCTION("""COMPUTED_VALUE"""),1)</f>
        <v>1</v>
      </c>
      <c r="N341" s="8"/>
    </row>
    <row r="342" spans="1:14" ht="12.45" hidden="1">
      <c r="A342" t="str">
        <f ca="1">IFERROR(__xludf.DUMMYFUNCTION("""COMPUTED_VALUE"""),"III-1-223")</f>
        <v>III-1-223</v>
      </c>
      <c r="B342" t="str">
        <f ca="1">IFERROR(__xludf.DUMMYFUNCTION("""COMPUTED_VALUE"""),"Катони")</f>
        <v>Катони</v>
      </c>
      <c r="C342" t="str">
        <f ca="1">IFERROR(__xludf.DUMMYFUNCTION("""COMPUTED_VALUE"""),"Вадим")</f>
        <v>Вадим</v>
      </c>
      <c r="D342" t="str">
        <f ca="1">IFERROR(__xludf.DUMMYFUNCTION("""COMPUTED_VALUE"""),"Школа ЧОУ НОО ""Умный мир""")</f>
        <v>Школа ЧОУ НОО "Умный мир"</v>
      </c>
      <c r="E342" s="5">
        <f ca="1">IFERROR(__xludf.DUMMYFUNCTION("""COMPUTED_VALUE"""),0)</f>
        <v>0</v>
      </c>
      <c r="F342" s="5">
        <f ca="1">IFERROR(__xludf.DUMMYFUNCTION("""COMPUTED_VALUE"""),0)</f>
        <v>0</v>
      </c>
      <c r="G342" s="5">
        <f ca="1">IFERROR(__xludf.DUMMYFUNCTION("""COMPUTED_VALUE"""),0)</f>
        <v>0</v>
      </c>
      <c r="H342" s="5">
        <f ca="1">IFERROR(__xludf.DUMMYFUNCTION("""COMPUTED_VALUE"""),0)</f>
        <v>0</v>
      </c>
      <c r="I342" s="5">
        <f ca="1">IFERROR(__xludf.DUMMYFUNCTION("""COMPUTED_VALUE"""),0)</f>
        <v>0</v>
      </c>
      <c r="J342" s="5">
        <f ca="1">IFERROR(__xludf.DUMMYFUNCTION("""COMPUTED_VALUE"""),0)</f>
        <v>0</v>
      </c>
      <c r="K342" s="5">
        <f ca="1">IFERROR(__xludf.DUMMYFUNCTION("""COMPUTED_VALUE"""),0)</f>
        <v>0</v>
      </c>
      <c r="L342" s="5">
        <f ca="1">IFERROR(__xludf.DUMMYFUNCTION("""COMPUTED_VALUE"""),1)</f>
        <v>1</v>
      </c>
      <c r="M342">
        <f ca="1">IFERROR(__xludf.DUMMYFUNCTION("""COMPUTED_VALUE"""),1)</f>
        <v>1</v>
      </c>
      <c r="N342" s="8"/>
    </row>
    <row r="343" spans="1:14" ht="12.45" hidden="1">
      <c r="A343" t="str">
        <f ca="1">IFERROR(__xludf.DUMMYFUNCTION("""COMPUTED_VALUE"""),"V-1-390")</f>
        <v>V-1-390</v>
      </c>
      <c r="B343" t="str">
        <f ca="1">IFERROR(__xludf.DUMMYFUNCTION("""COMPUTED_VALUE"""),"Пашинская")</f>
        <v>Пашинская</v>
      </c>
      <c r="C343" t="str">
        <f ca="1">IFERROR(__xludf.DUMMYFUNCTION("""COMPUTED_VALUE"""),"Арина")</f>
        <v>Арина</v>
      </c>
      <c r="D343" t="str">
        <f ca="1">IFERROR(__xludf.DUMMYFUNCTION("""COMPUTED_VALUE"""),"Школа 78")</f>
        <v>Школа 78</v>
      </c>
      <c r="E343" s="5">
        <f ca="1">IFERROR(__xludf.DUMMYFUNCTION("""COMPUTED_VALUE"""),0)</f>
        <v>0</v>
      </c>
      <c r="F343" s="5">
        <f ca="1">IFERROR(__xludf.DUMMYFUNCTION("""COMPUTED_VALUE"""),0)</f>
        <v>0</v>
      </c>
      <c r="G343" s="5">
        <f ca="1">IFERROR(__xludf.DUMMYFUNCTION("""COMPUTED_VALUE"""),0)</f>
        <v>0</v>
      </c>
      <c r="H343" s="5"/>
      <c r="I343" s="5">
        <f ca="1">IFERROR(__xludf.DUMMYFUNCTION("""COMPUTED_VALUE"""),0)</f>
        <v>0</v>
      </c>
      <c r="J343" s="5">
        <f ca="1">IFERROR(__xludf.DUMMYFUNCTION("""COMPUTED_VALUE"""),0)</f>
        <v>0</v>
      </c>
      <c r="K343" s="5">
        <f ca="1">IFERROR(__xludf.DUMMYFUNCTION("""COMPUTED_VALUE"""),0)</f>
        <v>0</v>
      </c>
      <c r="L343" s="5">
        <f ca="1">IFERROR(__xludf.DUMMYFUNCTION("""COMPUTED_VALUE"""),1)</f>
        <v>1</v>
      </c>
      <c r="M343">
        <f ca="1">IFERROR(__xludf.DUMMYFUNCTION("""COMPUTED_VALUE"""),1)</f>
        <v>1</v>
      </c>
      <c r="N343" s="8"/>
    </row>
    <row r="344" spans="1:14" ht="12.45" hidden="1">
      <c r="A344" t="str">
        <f ca="1">IFERROR(__xludf.DUMMYFUNCTION("""COMPUTED_VALUE"""),"V-1-348")</f>
        <v>V-1-348</v>
      </c>
      <c r="B344" t="str">
        <f ca="1">IFERROR(__xludf.DUMMYFUNCTION("""COMPUTED_VALUE"""),"Набока")</f>
        <v>Набока</v>
      </c>
      <c r="C344" t="str">
        <f ca="1">IFERROR(__xludf.DUMMYFUNCTION("""COMPUTED_VALUE"""),"Екатерина")</f>
        <v>Екатерина</v>
      </c>
      <c r="D344" t="str">
        <f ca="1">IFERROR(__xludf.DUMMYFUNCTION("""COMPUTED_VALUE"""),"Школа 407")</f>
        <v>Школа 407</v>
      </c>
      <c r="E344" s="5">
        <f ca="1">IFERROR(__xludf.DUMMYFUNCTION("""COMPUTED_VALUE"""),0)</f>
        <v>0</v>
      </c>
      <c r="F344" s="5">
        <f ca="1">IFERROR(__xludf.DUMMYFUNCTION("""COMPUTED_VALUE"""),0)</f>
        <v>0</v>
      </c>
      <c r="G344" s="5">
        <f ca="1">IFERROR(__xludf.DUMMYFUNCTION("""COMPUTED_VALUE"""),0)</f>
        <v>0</v>
      </c>
      <c r="H344" s="5">
        <f ca="1">IFERROR(__xludf.DUMMYFUNCTION("""COMPUTED_VALUE"""),0)</f>
        <v>0</v>
      </c>
      <c r="I344" s="5">
        <f ca="1">IFERROR(__xludf.DUMMYFUNCTION("""COMPUTED_VALUE"""),0)</f>
        <v>0</v>
      </c>
      <c r="J344" s="5">
        <f ca="1">IFERROR(__xludf.DUMMYFUNCTION("""COMPUTED_VALUE"""),0)</f>
        <v>0</v>
      </c>
      <c r="K344" s="5">
        <f ca="1">IFERROR(__xludf.DUMMYFUNCTION("""COMPUTED_VALUE"""),0)</f>
        <v>0</v>
      </c>
      <c r="L344" s="5">
        <f ca="1">IFERROR(__xludf.DUMMYFUNCTION("""COMPUTED_VALUE"""),1)</f>
        <v>1</v>
      </c>
      <c r="M344">
        <f ca="1">IFERROR(__xludf.DUMMYFUNCTION("""COMPUTED_VALUE"""),1)</f>
        <v>1</v>
      </c>
      <c r="N344" s="8"/>
    </row>
    <row r="345" spans="1:14" ht="12.45" hidden="1">
      <c r="A345" t="str">
        <f ca="1">IFERROR(__xludf.DUMMYFUNCTION("""COMPUTED_VALUE"""),"V-1-354")</f>
        <v>V-1-354</v>
      </c>
      <c r="B345" t="str">
        <f ca="1">IFERROR(__xludf.DUMMYFUNCTION("""COMPUTED_VALUE"""),"Наумов")</f>
        <v>Наумов</v>
      </c>
      <c r="C345" t="str">
        <f ca="1">IFERROR(__xludf.DUMMYFUNCTION("""COMPUTED_VALUE"""),"Илья")</f>
        <v>Илья</v>
      </c>
      <c r="D345" t="str">
        <f ca="1">IFERROR(__xludf.DUMMYFUNCTION("""COMPUTED_VALUE"""),"Школа 407")</f>
        <v>Школа 407</v>
      </c>
      <c r="E345" s="5">
        <f ca="1">IFERROR(__xludf.DUMMYFUNCTION("""COMPUTED_VALUE"""),0)</f>
        <v>0</v>
      </c>
      <c r="F345" s="5"/>
      <c r="G345" s="5">
        <f ca="1">IFERROR(__xludf.DUMMYFUNCTION("""COMPUTED_VALUE"""),0)</f>
        <v>0</v>
      </c>
      <c r="H345" s="5">
        <f ca="1">IFERROR(__xludf.DUMMYFUNCTION("""COMPUTED_VALUE"""),0)</f>
        <v>0</v>
      </c>
      <c r="I345" s="5">
        <f ca="1">IFERROR(__xludf.DUMMYFUNCTION("""COMPUTED_VALUE"""),0)</f>
        <v>0</v>
      </c>
      <c r="J345" s="5">
        <f ca="1">IFERROR(__xludf.DUMMYFUNCTION("""COMPUTED_VALUE"""),0)</f>
        <v>0</v>
      </c>
      <c r="K345" s="5">
        <f ca="1">IFERROR(__xludf.DUMMYFUNCTION("""COMPUTED_VALUE"""),0)</f>
        <v>0</v>
      </c>
      <c r="L345" s="5">
        <f ca="1">IFERROR(__xludf.DUMMYFUNCTION("""COMPUTED_VALUE"""),1)</f>
        <v>1</v>
      </c>
      <c r="M345">
        <f ca="1">IFERROR(__xludf.DUMMYFUNCTION("""COMPUTED_VALUE"""),1)</f>
        <v>1</v>
      </c>
      <c r="N345" s="8"/>
    </row>
    <row r="346" spans="1:14" ht="12.45" hidden="1">
      <c r="A346" t="str">
        <f ca="1">IFERROR(__xludf.DUMMYFUNCTION("""COMPUTED_VALUE"""),"V-1-493")</f>
        <v>V-1-493</v>
      </c>
      <c r="B346" t="str">
        <f ca="1">IFERROR(__xludf.DUMMYFUNCTION("""COMPUTED_VALUE"""),"Старцев")</f>
        <v>Старцев</v>
      </c>
      <c r="C346" t="str">
        <f ca="1">IFERROR(__xludf.DUMMYFUNCTION("""COMPUTED_VALUE"""),"Матвей")</f>
        <v>Матвей</v>
      </c>
      <c r="D346" t="str">
        <f ca="1">IFERROR(__xludf.DUMMYFUNCTION("""COMPUTED_VALUE"""),"Школа 407")</f>
        <v>Школа 407</v>
      </c>
      <c r="E346" s="5">
        <f ca="1">IFERROR(__xludf.DUMMYFUNCTION("""COMPUTED_VALUE"""),0)</f>
        <v>0</v>
      </c>
      <c r="F346" s="5">
        <f ca="1">IFERROR(__xludf.DUMMYFUNCTION("""COMPUTED_VALUE"""),0)</f>
        <v>0</v>
      </c>
      <c r="G346" s="5">
        <f ca="1">IFERROR(__xludf.DUMMYFUNCTION("""COMPUTED_VALUE"""),0)</f>
        <v>0</v>
      </c>
      <c r="H346" s="5">
        <f ca="1">IFERROR(__xludf.DUMMYFUNCTION("""COMPUTED_VALUE"""),0)</f>
        <v>0</v>
      </c>
      <c r="I346" s="5">
        <f ca="1">IFERROR(__xludf.DUMMYFUNCTION("""COMPUTED_VALUE"""),0)</f>
        <v>0</v>
      </c>
      <c r="J346" s="5">
        <f ca="1">IFERROR(__xludf.DUMMYFUNCTION("""COMPUTED_VALUE"""),0)</f>
        <v>0</v>
      </c>
      <c r="K346" s="5">
        <f ca="1">IFERROR(__xludf.DUMMYFUNCTION("""COMPUTED_VALUE"""),0)</f>
        <v>0</v>
      </c>
      <c r="L346" s="5">
        <f ca="1">IFERROR(__xludf.DUMMYFUNCTION("""COMPUTED_VALUE"""),1)</f>
        <v>1</v>
      </c>
      <c r="M346">
        <f ca="1">IFERROR(__xludf.DUMMYFUNCTION("""COMPUTED_VALUE"""),1)</f>
        <v>1</v>
      </c>
      <c r="N346" s="8"/>
    </row>
    <row r="347" spans="1:14" ht="12.45" hidden="1">
      <c r="A347" t="str">
        <f ca="1">IFERROR(__xludf.DUMMYFUNCTION("""COMPUTED_VALUE"""),"III-1-279")</f>
        <v>III-1-279</v>
      </c>
      <c r="B347" t="str">
        <f ca="1">IFERROR(__xludf.DUMMYFUNCTION("""COMPUTED_VALUE"""),"Курганов")</f>
        <v>Курганов</v>
      </c>
      <c r="C347" t="str">
        <f ca="1">IFERROR(__xludf.DUMMYFUNCTION("""COMPUTED_VALUE"""),"Максим")</f>
        <v>Максим</v>
      </c>
      <c r="D347" t="str">
        <f ca="1">IFERROR(__xludf.DUMMYFUNCTION("""COMPUTED_VALUE"""),"Школа 532")</f>
        <v>Школа 532</v>
      </c>
      <c r="E347" s="5">
        <f ca="1">IFERROR(__xludf.DUMMYFUNCTION("""COMPUTED_VALUE"""),0)</f>
        <v>0</v>
      </c>
      <c r="F347" s="5">
        <f ca="1">IFERROR(__xludf.DUMMYFUNCTION("""COMPUTED_VALUE"""),0)</f>
        <v>0</v>
      </c>
      <c r="G347" s="5">
        <f ca="1">IFERROR(__xludf.DUMMYFUNCTION("""COMPUTED_VALUE"""),0)</f>
        <v>0</v>
      </c>
      <c r="H347" s="5">
        <f ca="1">IFERROR(__xludf.DUMMYFUNCTION("""COMPUTED_VALUE"""),0)</f>
        <v>0</v>
      </c>
      <c r="I347" s="5">
        <f ca="1">IFERROR(__xludf.DUMMYFUNCTION("""COMPUTED_VALUE"""),0)</f>
        <v>0</v>
      </c>
      <c r="J347" s="5">
        <f ca="1">IFERROR(__xludf.DUMMYFUNCTION("""COMPUTED_VALUE"""),0)</f>
        <v>0</v>
      </c>
      <c r="K347" s="5">
        <f ca="1">IFERROR(__xludf.DUMMYFUNCTION("""COMPUTED_VALUE"""),0)</f>
        <v>0</v>
      </c>
      <c r="L347" s="5">
        <f ca="1">IFERROR(__xludf.DUMMYFUNCTION("""COMPUTED_VALUE"""),1)</f>
        <v>1</v>
      </c>
      <c r="M347">
        <f ca="1">IFERROR(__xludf.DUMMYFUNCTION("""COMPUTED_VALUE"""),1)</f>
        <v>1</v>
      </c>
      <c r="N347" s="8"/>
    </row>
    <row r="348" spans="1:14" ht="12.45" hidden="1">
      <c r="A348" t="str">
        <f ca="1">IFERROR(__xludf.DUMMYFUNCTION("""COMPUTED_VALUE"""),"V-1-411")</f>
        <v>V-1-411</v>
      </c>
      <c r="B348" t="str">
        <f ca="1">IFERROR(__xludf.DUMMYFUNCTION("""COMPUTED_VALUE"""),"Польщиков")</f>
        <v>Польщиков</v>
      </c>
      <c r="C348" t="str">
        <f ca="1">IFERROR(__xludf.DUMMYFUNCTION("""COMPUTED_VALUE"""),"Алексей")</f>
        <v>Алексей</v>
      </c>
      <c r="D348" t="str">
        <f ca="1">IFERROR(__xludf.DUMMYFUNCTION("""COMPUTED_VALUE"""),"Гимназия 248")</f>
        <v>Гимназия 248</v>
      </c>
      <c r="E348" s="5"/>
      <c r="F348" s="5"/>
      <c r="G348" s="5"/>
      <c r="H348" s="5"/>
      <c r="I348" s="5"/>
      <c r="J348" s="5"/>
      <c r="K348" s="5"/>
      <c r="L348" s="5">
        <f ca="1">IFERROR(__xludf.DUMMYFUNCTION("""COMPUTED_VALUE"""),1)</f>
        <v>1</v>
      </c>
      <c r="M348">
        <f ca="1">IFERROR(__xludf.DUMMYFUNCTION("""COMPUTED_VALUE"""),1)</f>
        <v>1</v>
      </c>
      <c r="N348" s="8"/>
    </row>
    <row r="349" spans="1:14" ht="12.45" hidden="1">
      <c r="A349" t="str">
        <f ca="1">IFERROR(__xludf.DUMMYFUNCTION("""COMPUTED_VALUE"""),"III-1-237")</f>
        <v>III-1-237</v>
      </c>
      <c r="B349" t="str">
        <f ca="1">IFERROR(__xludf.DUMMYFUNCTION("""COMPUTED_VALUE"""),"Клюева")</f>
        <v>Клюева</v>
      </c>
      <c r="C349" t="str">
        <f ca="1">IFERROR(__xludf.DUMMYFUNCTION("""COMPUTED_VALUE"""),"Дарья")</f>
        <v>Дарья</v>
      </c>
      <c r="D349" t="str">
        <f ca="1">IFERROR(__xludf.DUMMYFUNCTION("""COMPUTED_VALUE"""),"Гимназия 433")</f>
        <v>Гимназия 433</v>
      </c>
      <c r="E349" s="5"/>
      <c r="F349" s="5">
        <f ca="1">IFERROR(__xludf.DUMMYFUNCTION("""COMPUTED_VALUE"""),0)</f>
        <v>0</v>
      </c>
      <c r="G349" s="5">
        <f ca="1">IFERROR(__xludf.DUMMYFUNCTION("""COMPUTED_VALUE"""),0)</f>
        <v>0</v>
      </c>
      <c r="H349" s="5"/>
      <c r="I349" s="5"/>
      <c r="J349" s="5"/>
      <c r="K349" s="5"/>
      <c r="L349" s="5">
        <f ca="1">IFERROR(__xludf.DUMMYFUNCTION("""COMPUTED_VALUE"""),1)</f>
        <v>1</v>
      </c>
      <c r="M349">
        <f ca="1">IFERROR(__xludf.DUMMYFUNCTION("""COMPUTED_VALUE"""),1)</f>
        <v>1</v>
      </c>
      <c r="N349" s="8"/>
    </row>
    <row r="350" spans="1:14" ht="12.45" hidden="1">
      <c r="A350" t="str">
        <f ca="1">IFERROR(__xludf.DUMMYFUNCTION("""COMPUTED_VALUE"""),"V-1-457")</f>
        <v>V-1-457</v>
      </c>
      <c r="B350" t="str">
        <f ca="1">IFERROR(__xludf.DUMMYFUNCTION("""COMPUTED_VALUE"""),"Самсонова")</f>
        <v>Самсонова</v>
      </c>
      <c r="C350" t="str">
        <f ca="1">IFERROR(__xludf.DUMMYFUNCTION("""COMPUTED_VALUE"""),"София")</f>
        <v>София</v>
      </c>
      <c r="D350" t="str">
        <f ca="1">IFERROR(__xludf.DUMMYFUNCTION("""COMPUTED_VALUE"""),"Школа 643")</f>
        <v>Школа 643</v>
      </c>
      <c r="E350" s="5">
        <f ca="1">IFERROR(__xludf.DUMMYFUNCTION("""COMPUTED_VALUE"""),0)</f>
        <v>0</v>
      </c>
      <c r="F350" s="5">
        <f ca="1">IFERROR(__xludf.DUMMYFUNCTION("""COMPUTED_VALUE"""),0)</f>
        <v>0</v>
      </c>
      <c r="G350" s="5">
        <f ca="1">IFERROR(__xludf.DUMMYFUNCTION("""COMPUTED_VALUE"""),0)</f>
        <v>0</v>
      </c>
      <c r="H350" s="5">
        <f ca="1">IFERROR(__xludf.DUMMYFUNCTION("""COMPUTED_VALUE"""),0)</f>
        <v>0</v>
      </c>
      <c r="I350" s="5">
        <f ca="1">IFERROR(__xludf.DUMMYFUNCTION("""COMPUTED_VALUE"""),0)</f>
        <v>0</v>
      </c>
      <c r="J350" s="5">
        <f ca="1">IFERROR(__xludf.DUMMYFUNCTION("""COMPUTED_VALUE"""),0)</f>
        <v>0</v>
      </c>
      <c r="K350" s="5">
        <f ca="1">IFERROR(__xludf.DUMMYFUNCTION("""COMPUTED_VALUE"""),0)</f>
        <v>0</v>
      </c>
      <c r="L350" s="5">
        <f ca="1">IFERROR(__xludf.DUMMYFUNCTION("""COMPUTED_VALUE"""),1)</f>
        <v>1</v>
      </c>
      <c r="M350">
        <f ca="1">IFERROR(__xludf.DUMMYFUNCTION("""COMPUTED_VALUE"""),1)</f>
        <v>1</v>
      </c>
      <c r="N350" s="8"/>
    </row>
    <row r="351" spans="1:14" ht="12.45" hidden="1">
      <c r="A351" t="str">
        <f ca="1">IFERROR(__xludf.DUMMYFUNCTION("""COMPUTED_VALUE"""),"V-1-513")</f>
        <v>V-1-513</v>
      </c>
      <c r="B351" t="str">
        <f ca="1">IFERROR(__xludf.DUMMYFUNCTION("""COMPUTED_VALUE"""),"Тентлер")</f>
        <v>Тентлер</v>
      </c>
      <c r="C351" t="str">
        <f ca="1">IFERROR(__xludf.DUMMYFUNCTION("""COMPUTED_VALUE"""),"Софья")</f>
        <v>Софья</v>
      </c>
      <c r="D351" t="str">
        <f ca="1">IFERROR(__xludf.DUMMYFUNCTION("""COMPUTED_VALUE"""),"Гимназия 148 имени Сервантеса")</f>
        <v>Гимназия 148 имени Сервантеса</v>
      </c>
      <c r="E351" s="5">
        <f ca="1">IFERROR(__xludf.DUMMYFUNCTION("""COMPUTED_VALUE"""),1)</f>
        <v>1</v>
      </c>
      <c r="F351" s="5">
        <f ca="1">IFERROR(__xludf.DUMMYFUNCTION("""COMPUTED_VALUE"""),0)</f>
        <v>0</v>
      </c>
      <c r="G351" s="5">
        <f ca="1">IFERROR(__xludf.DUMMYFUNCTION("""COMPUTED_VALUE"""),0)</f>
        <v>0</v>
      </c>
      <c r="H351" s="5">
        <f ca="1">IFERROR(__xludf.DUMMYFUNCTION("""COMPUTED_VALUE"""),0)</f>
        <v>0</v>
      </c>
      <c r="I351" s="5">
        <f ca="1">IFERROR(__xludf.DUMMYFUNCTION("""COMPUTED_VALUE"""),0)</f>
        <v>0</v>
      </c>
      <c r="J351" s="5">
        <f ca="1">IFERROR(__xludf.DUMMYFUNCTION("""COMPUTED_VALUE"""),0)</f>
        <v>0</v>
      </c>
      <c r="K351" s="5">
        <f ca="1">IFERROR(__xludf.DUMMYFUNCTION("""COMPUTED_VALUE"""),0)</f>
        <v>0</v>
      </c>
      <c r="L351" s="5"/>
      <c r="M351">
        <f ca="1">IFERROR(__xludf.DUMMYFUNCTION("""COMPUTED_VALUE"""),1)</f>
        <v>1</v>
      </c>
      <c r="N351" s="8"/>
    </row>
    <row r="352" spans="1:14" ht="12.45" hidden="1">
      <c r="A352" t="str">
        <f ca="1">IFERROR(__xludf.DUMMYFUNCTION("""COMPUTED_VALUE"""),"V-1-442")</f>
        <v>V-1-442</v>
      </c>
      <c r="B352" t="str">
        <f ca="1">IFERROR(__xludf.DUMMYFUNCTION("""COMPUTED_VALUE"""),"Романевич")</f>
        <v>Романевич</v>
      </c>
      <c r="C352" t="str">
        <f ca="1">IFERROR(__xludf.DUMMYFUNCTION("""COMPUTED_VALUE"""),"Анастасия")</f>
        <v>Анастасия</v>
      </c>
      <c r="D352" t="str">
        <f ca="1">IFERROR(__xludf.DUMMYFUNCTION("""COMPUTED_VALUE"""),"Школа 508")</f>
        <v>Школа 508</v>
      </c>
      <c r="E352" s="5">
        <f ca="1">IFERROR(__xludf.DUMMYFUNCTION("""COMPUTED_VALUE"""),0)</f>
        <v>0</v>
      </c>
      <c r="F352" s="5">
        <f ca="1">IFERROR(__xludf.DUMMYFUNCTION("""COMPUTED_VALUE"""),0)</f>
        <v>0</v>
      </c>
      <c r="G352" s="5">
        <f ca="1">IFERROR(__xludf.DUMMYFUNCTION("""COMPUTED_VALUE"""),0)</f>
        <v>0</v>
      </c>
      <c r="H352" s="5">
        <f ca="1">IFERROR(__xludf.DUMMYFUNCTION("""COMPUTED_VALUE"""),0)</f>
        <v>0</v>
      </c>
      <c r="I352" s="5"/>
      <c r="J352" s="5">
        <f ca="1">IFERROR(__xludf.DUMMYFUNCTION("""COMPUTED_VALUE"""),0)</f>
        <v>0</v>
      </c>
      <c r="K352" s="5">
        <f ca="1">IFERROR(__xludf.DUMMYFUNCTION("""COMPUTED_VALUE"""),0)</f>
        <v>0</v>
      </c>
      <c r="L352" s="5">
        <f ca="1">IFERROR(__xludf.DUMMYFUNCTION("""COMPUTED_VALUE"""),1)</f>
        <v>1</v>
      </c>
      <c r="M352">
        <f ca="1">IFERROR(__xludf.DUMMYFUNCTION("""COMPUTED_VALUE"""),1)</f>
        <v>1</v>
      </c>
      <c r="N352" s="8"/>
    </row>
    <row r="353" spans="1:14" ht="12.45" hidden="1">
      <c r="A353" t="str">
        <f ca="1">IFERROR(__xludf.DUMMYFUNCTION("""COMPUTED_VALUE"""),"III-1-121")</f>
        <v>III-1-121</v>
      </c>
      <c r="B353" t="str">
        <f ca="1">IFERROR(__xludf.DUMMYFUNCTION("""COMPUTED_VALUE"""),"Гарцуев")</f>
        <v>Гарцуев</v>
      </c>
      <c r="C353" t="str">
        <f ca="1">IFERROR(__xludf.DUMMYFUNCTION("""COMPUTED_VALUE"""),"Елисей")</f>
        <v>Елисей</v>
      </c>
      <c r="D353" t="str">
        <f ca="1">IFERROR(__xludf.DUMMYFUNCTION("""COMPUTED_VALUE"""),"Школа 292")</f>
        <v>Школа 292</v>
      </c>
      <c r="E353" s="5">
        <f ca="1">IFERROR(__xludf.DUMMYFUNCTION("""COMPUTED_VALUE"""),0)</f>
        <v>0</v>
      </c>
      <c r="F353" s="5">
        <f ca="1">IFERROR(__xludf.DUMMYFUNCTION("""COMPUTED_VALUE"""),0)</f>
        <v>0</v>
      </c>
      <c r="G353" s="5"/>
      <c r="H353" s="5">
        <f ca="1">IFERROR(__xludf.DUMMYFUNCTION("""COMPUTED_VALUE"""),0)</f>
        <v>0</v>
      </c>
      <c r="I353" s="5"/>
      <c r="J353" s="5">
        <f ca="1">IFERROR(__xludf.DUMMYFUNCTION("""COMPUTED_VALUE"""),0)</f>
        <v>0</v>
      </c>
      <c r="K353" s="5"/>
      <c r="L353" s="5">
        <f ca="1">IFERROR(__xludf.DUMMYFUNCTION("""COMPUTED_VALUE"""),1)</f>
        <v>1</v>
      </c>
      <c r="M353">
        <f ca="1">IFERROR(__xludf.DUMMYFUNCTION("""COMPUTED_VALUE"""),1)</f>
        <v>1</v>
      </c>
      <c r="N353" s="8"/>
    </row>
    <row r="354" spans="1:14" ht="12.45" hidden="1">
      <c r="A354" t="str">
        <f ca="1">IFERROR(__xludf.DUMMYFUNCTION("""COMPUTED_VALUE"""),"V-1-467")</f>
        <v>V-1-467</v>
      </c>
      <c r="B354" t="str">
        <f ca="1">IFERROR(__xludf.DUMMYFUNCTION("""COMPUTED_VALUE"""),"Сергеенко")</f>
        <v>Сергеенко</v>
      </c>
      <c r="C354" t="str">
        <f ca="1">IFERROR(__xludf.DUMMYFUNCTION("""COMPUTED_VALUE"""),"Софья")</f>
        <v>Софья</v>
      </c>
      <c r="D354" t="str">
        <f ca="1">IFERROR(__xludf.DUMMYFUNCTION("""COMPUTED_VALUE"""),"Школа 292")</f>
        <v>Школа 292</v>
      </c>
      <c r="E354" s="5">
        <f ca="1">IFERROR(__xludf.DUMMYFUNCTION("""COMPUTED_VALUE"""),0)</f>
        <v>0</v>
      </c>
      <c r="F354" s="5">
        <f ca="1">IFERROR(__xludf.DUMMYFUNCTION("""COMPUTED_VALUE"""),0)</f>
        <v>0</v>
      </c>
      <c r="G354" s="5"/>
      <c r="H354" s="5">
        <f ca="1">IFERROR(__xludf.DUMMYFUNCTION("""COMPUTED_VALUE"""),0)</f>
        <v>0</v>
      </c>
      <c r="I354" s="5">
        <f ca="1">IFERROR(__xludf.DUMMYFUNCTION("""COMPUTED_VALUE"""),0)</f>
        <v>0</v>
      </c>
      <c r="J354" s="5">
        <f ca="1">IFERROR(__xludf.DUMMYFUNCTION("""COMPUTED_VALUE"""),0)</f>
        <v>0</v>
      </c>
      <c r="K354" s="5">
        <f ca="1">IFERROR(__xludf.DUMMYFUNCTION("""COMPUTED_VALUE"""),0)</f>
        <v>0</v>
      </c>
      <c r="L354" s="5">
        <f ca="1">IFERROR(__xludf.DUMMYFUNCTION("""COMPUTED_VALUE"""),1)</f>
        <v>1</v>
      </c>
      <c r="M354">
        <f ca="1">IFERROR(__xludf.DUMMYFUNCTION("""COMPUTED_VALUE"""),1)</f>
        <v>1</v>
      </c>
      <c r="N354" s="8"/>
    </row>
    <row r="355" spans="1:14" ht="12.45" hidden="1">
      <c r="A355" t="str">
        <f ca="1">IFERROR(__xludf.DUMMYFUNCTION("""COMPUTED_VALUE"""),"III-1-283")</f>
        <v>III-1-283</v>
      </c>
      <c r="B355" t="str">
        <f ca="1">IFERROR(__xludf.DUMMYFUNCTION("""COMPUTED_VALUE"""),"Лазарев")</f>
        <v>Лазарев</v>
      </c>
      <c r="C355" t="str">
        <f ca="1">IFERROR(__xludf.DUMMYFUNCTION("""COMPUTED_VALUE"""),"Андрей")</f>
        <v>Андрей</v>
      </c>
      <c r="D355" t="str">
        <f ca="1">IFERROR(__xludf.DUMMYFUNCTION("""COMPUTED_VALUE"""),"Школа 468")</f>
        <v>Школа 468</v>
      </c>
      <c r="E355" s="5">
        <f ca="1">IFERROR(__xludf.DUMMYFUNCTION("""COMPUTED_VALUE"""),1)</f>
        <v>1</v>
      </c>
      <c r="F355" s="5">
        <f ca="1">IFERROR(__xludf.DUMMYFUNCTION("""COMPUTED_VALUE"""),0)</f>
        <v>0</v>
      </c>
      <c r="G355" s="5">
        <f ca="1">IFERROR(__xludf.DUMMYFUNCTION("""COMPUTED_VALUE"""),0)</f>
        <v>0</v>
      </c>
      <c r="H355" s="5">
        <f ca="1">IFERROR(__xludf.DUMMYFUNCTION("""COMPUTED_VALUE"""),0)</f>
        <v>0</v>
      </c>
      <c r="I355" s="5">
        <f ca="1">IFERROR(__xludf.DUMMYFUNCTION("""COMPUTED_VALUE"""),0)</f>
        <v>0</v>
      </c>
      <c r="J355" s="5">
        <f ca="1">IFERROR(__xludf.DUMMYFUNCTION("""COMPUTED_VALUE"""),0)</f>
        <v>0</v>
      </c>
      <c r="K355" s="5">
        <f ca="1">IFERROR(__xludf.DUMMYFUNCTION("""COMPUTED_VALUE"""),0)</f>
        <v>0</v>
      </c>
      <c r="L355" s="5">
        <f ca="1">IFERROR(__xludf.DUMMYFUNCTION("""COMPUTED_VALUE"""),0)</f>
        <v>0</v>
      </c>
      <c r="M355">
        <f ca="1">IFERROR(__xludf.DUMMYFUNCTION("""COMPUTED_VALUE"""),1)</f>
        <v>1</v>
      </c>
      <c r="N355" s="8"/>
    </row>
    <row r="356" spans="1:14" ht="12.45" hidden="1">
      <c r="A356" t="str">
        <f ca="1">IFERROR(__xludf.DUMMYFUNCTION("""COMPUTED_VALUE"""),"V-1-567")</f>
        <v>V-1-567</v>
      </c>
      <c r="B356" t="str">
        <f ca="1">IFERROR(__xludf.DUMMYFUNCTION("""COMPUTED_VALUE"""),"Хохрин")</f>
        <v>Хохрин</v>
      </c>
      <c r="C356" t="str">
        <f ca="1">IFERROR(__xludf.DUMMYFUNCTION("""COMPUTED_VALUE"""),"Ярослав")</f>
        <v>Ярослав</v>
      </c>
      <c r="D356" t="str">
        <f ca="1">IFERROR(__xludf.DUMMYFUNCTION("""COMPUTED_VALUE"""),"Школа 100")</f>
        <v>Школа 100</v>
      </c>
      <c r="E356" s="5">
        <f ca="1">IFERROR(__xludf.DUMMYFUNCTION("""COMPUTED_VALUE"""),0)</f>
        <v>0</v>
      </c>
      <c r="F356" s="5">
        <f ca="1">IFERROR(__xludf.DUMMYFUNCTION("""COMPUTED_VALUE"""),0)</f>
        <v>0</v>
      </c>
      <c r="G356" s="5">
        <f ca="1">IFERROR(__xludf.DUMMYFUNCTION("""COMPUTED_VALUE"""),0)</f>
        <v>0</v>
      </c>
      <c r="H356" s="5">
        <f ca="1">IFERROR(__xludf.DUMMYFUNCTION("""COMPUTED_VALUE"""),0)</f>
        <v>0</v>
      </c>
      <c r="I356" s="5">
        <f ca="1">IFERROR(__xludf.DUMMYFUNCTION("""COMPUTED_VALUE"""),0)</f>
        <v>0</v>
      </c>
      <c r="J356" s="5">
        <f ca="1">IFERROR(__xludf.DUMMYFUNCTION("""COMPUTED_VALUE"""),0)</f>
        <v>0</v>
      </c>
      <c r="K356" s="5">
        <f ca="1">IFERROR(__xludf.DUMMYFUNCTION("""COMPUTED_VALUE"""),0)</f>
        <v>0</v>
      </c>
      <c r="L356" s="5">
        <f ca="1">IFERROR(__xludf.DUMMYFUNCTION("""COMPUTED_VALUE"""),1)</f>
        <v>1</v>
      </c>
      <c r="M356">
        <f ca="1">IFERROR(__xludf.DUMMYFUNCTION("""COMPUTED_VALUE"""),1)</f>
        <v>1</v>
      </c>
      <c r="N356" s="8"/>
    </row>
    <row r="357" spans="1:14" ht="12.45" hidden="1">
      <c r="A357" t="str">
        <f ca="1">IFERROR(__xludf.DUMMYFUNCTION("""COMPUTED_VALUE"""),"V-1-558")</f>
        <v>V-1-558</v>
      </c>
      <c r="B357" t="str">
        <f ca="1">IFERROR(__xludf.DUMMYFUNCTION("""COMPUTED_VALUE"""),"Фурыгин")</f>
        <v>Фурыгин</v>
      </c>
      <c r="C357" t="str">
        <f ca="1">IFERROR(__xludf.DUMMYFUNCTION("""COMPUTED_VALUE"""),"Георгий")</f>
        <v>Георгий</v>
      </c>
      <c r="D357" t="str">
        <f ca="1">IFERROR(__xludf.DUMMYFUNCTION("""COMPUTED_VALUE"""),"Гимназия 446")</f>
        <v>Гимназия 446</v>
      </c>
      <c r="E357" s="5">
        <f ca="1">IFERROR(__xludf.DUMMYFUNCTION("""COMPUTED_VALUE"""),0)</f>
        <v>0</v>
      </c>
      <c r="F357" s="5">
        <f ca="1">IFERROR(__xludf.DUMMYFUNCTION("""COMPUTED_VALUE"""),0)</f>
        <v>0</v>
      </c>
      <c r="G357" s="5">
        <f ca="1">IFERROR(__xludf.DUMMYFUNCTION("""COMPUTED_VALUE"""),0)</f>
        <v>0</v>
      </c>
      <c r="H357" s="5">
        <f ca="1">IFERROR(__xludf.DUMMYFUNCTION("""COMPUTED_VALUE"""),0)</f>
        <v>0</v>
      </c>
      <c r="I357" s="5">
        <f ca="1">IFERROR(__xludf.DUMMYFUNCTION("""COMPUTED_VALUE"""),0)</f>
        <v>0</v>
      </c>
      <c r="J357" s="5">
        <f ca="1">IFERROR(__xludf.DUMMYFUNCTION("""COMPUTED_VALUE"""),0)</f>
        <v>0</v>
      </c>
      <c r="K357" s="5">
        <f ca="1">IFERROR(__xludf.DUMMYFUNCTION("""COMPUTED_VALUE"""),0)</f>
        <v>0</v>
      </c>
      <c r="L357" s="5">
        <f ca="1">IFERROR(__xludf.DUMMYFUNCTION("""COMPUTED_VALUE"""),1)</f>
        <v>1</v>
      </c>
      <c r="M357">
        <f ca="1">IFERROR(__xludf.DUMMYFUNCTION("""COMPUTED_VALUE"""),1)</f>
        <v>1</v>
      </c>
      <c r="N357" s="8"/>
    </row>
    <row r="358" spans="1:14" ht="12.45" hidden="1">
      <c r="A358" t="str">
        <f ca="1">IFERROR(__xludf.DUMMYFUNCTION("""COMPUTED_VALUE"""),"III-1-140")</f>
        <v>III-1-140</v>
      </c>
      <c r="B358" t="str">
        <f ca="1">IFERROR(__xludf.DUMMYFUNCTION("""COMPUTED_VALUE"""),"Гришанин")</f>
        <v>Гришанин</v>
      </c>
      <c r="C358" t="str">
        <f ca="1">IFERROR(__xludf.DUMMYFUNCTION("""COMPUTED_VALUE"""),"Вячеслав")</f>
        <v>Вячеслав</v>
      </c>
      <c r="D358" t="str">
        <f ca="1">IFERROR(__xludf.DUMMYFUNCTION("""COMPUTED_VALUE"""),"Школа 655")</f>
        <v>Школа 655</v>
      </c>
      <c r="E358" s="5"/>
      <c r="F358" s="5">
        <f ca="1">IFERROR(__xludf.DUMMYFUNCTION("""COMPUTED_VALUE"""),0)</f>
        <v>0</v>
      </c>
      <c r="G358" s="5"/>
      <c r="H358" s="5">
        <f ca="1">IFERROR(__xludf.DUMMYFUNCTION("""COMPUTED_VALUE"""),0)</f>
        <v>0</v>
      </c>
      <c r="I358" s="5"/>
      <c r="J358" s="5"/>
      <c r="K358" s="5">
        <f ca="1">IFERROR(__xludf.DUMMYFUNCTION("""COMPUTED_VALUE"""),0)</f>
        <v>0</v>
      </c>
      <c r="L358" s="5">
        <f ca="1">IFERROR(__xludf.DUMMYFUNCTION("""COMPUTED_VALUE"""),1)</f>
        <v>1</v>
      </c>
      <c r="M358">
        <f ca="1">IFERROR(__xludf.DUMMYFUNCTION("""COMPUTED_VALUE"""),1)</f>
        <v>1</v>
      </c>
      <c r="N358" s="8"/>
    </row>
    <row r="359" spans="1:14" ht="12.45" hidden="1">
      <c r="A359" t="str">
        <f ca="1">IFERROR(__xludf.DUMMYFUNCTION("""COMPUTED_VALUE"""),"III-1-008")</f>
        <v>III-1-008</v>
      </c>
      <c r="B359" t="str">
        <f ca="1">IFERROR(__xludf.DUMMYFUNCTION("""COMPUTED_VALUE"""),"Аксенов")</f>
        <v>Аксенов</v>
      </c>
      <c r="C359" t="str">
        <f ca="1">IFERROR(__xludf.DUMMYFUNCTION("""COMPUTED_VALUE"""),"Леонид")</f>
        <v>Леонид</v>
      </c>
      <c r="D359" t="str">
        <f ca="1">IFERROR(__xludf.DUMMYFUNCTION("""COMPUTED_VALUE"""),"Школа 482")</f>
        <v>Школа 482</v>
      </c>
      <c r="E359" s="5">
        <f ca="1">IFERROR(__xludf.DUMMYFUNCTION("""COMPUTED_VALUE"""),0)</f>
        <v>0</v>
      </c>
      <c r="F359" s="5">
        <f ca="1">IFERROR(__xludf.DUMMYFUNCTION("""COMPUTED_VALUE"""),0)</f>
        <v>0</v>
      </c>
      <c r="G359" s="5">
        <f ca="1">IFERROR(__xludf.DUMMYFUNCTION("""COMPUTED_VALUE"""),0)</f>
        <v>0</v>
      </c>
      <c r="H359" s="5">
        <f ca="1">IFERROR(__xludf.DUMMYFUNCTION("""COMPUTED_VALUE"""),0)</f>
        <v>0</v>
      </c>
      <c r="I359" s="5">
        <f ca="1">IFERROR(__xludf.DUMMYFUNCTION("""COMPUTED_VALUE"""),0)</f>
        <v>0</v>
      </c>
      <c r="J359" s="5">
        <f ca="1">IFERROR(__xludf.DUMMYFUNCTION("""COMPUTED_VALUE"""),0)</f>
        <v>0</v>
      </c>
      <c r="K359" s="5">
        <f ca="1">IFERROR(__xludf.DUMMYFUNCTION("""COMPUTED_VALUE"""),0)</f>
        <v>0</v>
      </c>
      <c r="L359" s="5">
        <f ca="1">IFERROR(__xludf.DUMMYFUNCTION("""COMPUTED_VALUE"""),1)</f>
        <v>1</v>
      </c>
      <c r="M359">
        <f ca="1">IFERROR(__xludf.DUMMYFUNCTION("""COMPUTED_VALUE"""),1)</f>
        <v>1</v>
      </c>
      <c r="N359" s="8"/>
    </row>
    <row r="360" spans="1:14" ht="12.45" hidden="1">
      <c r="A360" t="str">
        <f ca="1">IFERROR(__xludf.DUMMYFUNCTION("""COMPUTED_VALUE"""),"V-1-407")</f>
        <v>V-1-407</v>
      </c>
      <c r="B360" t="str">
        <f ca="1">IFERROR(__xludf.DUMMYFUNCTION("""COMPUTED_VALUE"""),"Поберий")</f>
        <v>Поберий</v>
      </c>
      <c r="C360" t="str">
        <f ca="1">IFERROR(__xludf.DUMMYFUNCTION("""COMPUTED_VALUE"""),"Александра")</f>
        <v>Александра</v>
      </c>
      <c r="D360" t="str">
        <f ca="1">IFERROR(__xludf.DUMMYFUNCTION("""COMPUTED_VALUE"""),"Школа 482")</f>
        <v>Школа 482</v>
      </c>
      <c r="E360" s="5">
        <f ca="1">IFERROR(__xludf.DUMMYFUNCTION("""COMPUTED_VALUE"""),0)</f>
        <v>0</v>
      </c>
      <c r="F360" s="5">
        <f ca="1">IFERROR(__xludf.DUMMYFUNCTION("""COMPUTED_VALUE"""),0)</f>
        <v>0</v>
      </c>
      <c r="G360" s="5">
        <f ca="1">IFERROR(__xludf.DUMMYFUNCTION("""COMPUTED_VALUE"""),0)</f>
        <v>0</v>
      </c>
      <c r="H360" s="5">
        <f ca="1">IFERROR(__xludf.DUMMYFUNCTION("""COMPUTED_VALUE"""),0)</f>
        <v>0</v>
      </c>
      <c r="I360" s="5">
        <f ca="1">IFERROR(__xludf.DUMMYFUNCTION("""COMPUTED_VALUE"""),0)</f>
        <v>0</v>
      </c>
      <c r="J360" s="5">
        <f ca="1">IFERROR(__xludf.DUMMYFUNCTION("""COMPUTED_VALUE"""),0)</f>
        <v>0</v>
      </c>
      <c r="K360" s="5">
        <f ca="1">IFERROR(__xludf.DUMMYFUNCTION("""COMPUTED_VALUE"""),0)</f>
        <v>0</v>
      </c>
      <c r="L360" s="5">
        <f ca="1">IFERROR(__xludf.DUMMYFUNCTION("""COMPUTED_VALUE"""),1)</f>
        <v>1</v>
      </c>
      <c r="M360">
        <f ca="1">IFERROR(__xludf.DUMMYFUNCTION("""COMPUTED_VALUE"""),1)</f>
        <v>1</v>
      </c>
      <c r="N360" s="8"/>
    </row>
    <row r="361" spans="1:14" ht="12.45" hidden="1">
      <c r="A361" t="str">
        <f ca="1">IFERROR(__xludf.DUMMYFUNCTION("""COMPUTED_VALUE"""),"III-1-067")</f>
        <v>III-1-067</v>
      </c>
      <c r="B361" t="str">
        <f ca="1">IFERROR(__xludf.DUMMYFUNCTION("""COMPUTED_VALUE"""),"Бойков")</f>
        <v>Бойков</v>
      </c>
      <c r="C361" t="str">
        <f ca="1">IFERROR(__xludf.DUMMYFUNCTION("""COMPUTED_VALUE"""),"Тихон")</f>
        <v>Тихон</v>
      </c>
      <c r="D361" t="str">
        <f ca="1">IFERROR(__xludf.DUMMYFUNCTION("""COMPUTED_VALUE"""),"Школа 80")</f>
        <v>Школа 80</v>
      </c>
      <c r="E361" s="5"/>
      <c r="F361" s="5"/>
      <c r="G361" s="5"/>
      <c r="H361" s="5"/>
      <c r="I361" s="5"/>
      <c r="J361" s="5"/>
      <c r="K361" s="5"/>
      <c r="L361" s="5"/>
      <c r="M361">
        <f ca="1">IFERROR(__xludf.DUMMYFUNCTION("""COMPUTED_VALUE"""),0)</f>
        <v>0</v>
      </c>
      <c r="N361" s="8"/>
    </row>
    <row r="362" spans="1:14" ht="12.45" hidden="1">
      <c r="A362" t="str">
        <f ca="1">IFERROR(__xludf.DUMMYFUNCTION("""COMPUTED_VALUE"""),"V-1-464")</f>
        <v>V-1-464</v>
      </c>
      <c r="B362" t="str">
        <f ca="1">IFERROR(__xludf.DUMMYFUNCTION("""COMPUTED_VALUE"""),"Семенова")</f>
        <v>Семенова</v>
      </c>
      <c r="C362" t="str">
        <f ca="1">IFERROR(__xludf.DUMMYFUNCTION("""COMPUTED_VALUE"""),"Элина")</f>
        <v>Элина</v>
      </c>
      <c r="D362" t="str">
        <f ca="1">IFERROR(__xludf.DUMMYFUNCTION("""COMPUTED_VALUE"""),"Лицей 366")</f>
        <v>Лицей 366</v>
      </c>
      <c r="E362" s="5"/>
      <c r="F362" s="5"/>
      <c r="G362" s="5"/>
      <c r="H362" s="5"/>
      <c r="I362" s="5"/>
      <c r="J362" s="5"/>
      <c r="K362" s="5"/>
      <c r="L362" s="5"/>
      <c r="M362">
        <f ca="1">IFERROR(__xludf.DUMMYFUNCTION("""COMPUTED_VALUE"""),0)</f>
        <v>0</v>
      </c>
      <c r="N362" s="8"/>
    </row>
    <row r="363" spans="1:14" ht="12.45" hidden="1">
      <c r="A363" t="str">
        <f ca="1">IFERROR(__xludf.DUMMYFUNCTION("""COMPUTED_VALUE"""),"III-1-049")</f>
        <v>III-1-049</v>
      </c>
      <c r="B363" t="str">
        <f ca="1">IFERROR(__xludf.DUMMYFUNCTION("""COMPUTED_VALUE"""),"Батищев")</f>
        <v>Батищев</v>
      </c>
      <c r="C363" t="str">
        <f ca="1">IFERROR(__xludf.DUMMYFUNCTION("""COMPUTED_VALUE"""),"Андрей")</f>
        <v>Андрей</v>
      </c>
      <c r="D363" t="str">
        <f ca="1">IFERROR(__xludf.DUMMYFUNCTION("""COMPUTED_VALUE"""),"Гимназия 11")</f>
        <v>Гимназия 11</v>
      </c>
      <c r="E363" s="5"/>
      <c r="F363" s="5"/>
      <c r="G363" s="5"/>
      <c r="H363" s="5"/>
      <c r="I363" s="5"/>
      <c r="J363" s="5"/>
      <c r="K363" s="5"/>
      <c r="L363" s="5"/>
      <c r="M363">
        <f ca="1">IFERROR(__xludf.DUMMYFUNCTION("""COMPUTED_VALUE"""),0)</f>
        <v>0</v>
      </c>
      <c r="N363" s="8"/>
    </row>
    <row r="364" spans="1:14" ht="12.45" hidden="1">
      <c r="A364" t="str">
        <f ca="1">IFERROR(__xludf.DUMMYFUNCTION("""COMPUTED_VALUE"""),"III-1-260")</f>
        <v>III-1-260</v>
      </c>
      <c r="B364" t="str">
        <f ca="1">IFERROR(__xludf.DUMMYFUNCTION("""COMPUTED_VALUE"""),"Котенева")</f>
        <v>Котенева</v>
      </c>
      <c r="C364" t="str">
        <f ca="1">IFERROR(__xludf.DUMMYFUNCTION("""COMPUTED_VALUE"""),"Марина")</f>
        <v>Марина</v>
      </c>
      <c r="D364" t="str">
        <f ca="1">IFERROR(__xludf.DUMMYFUNCTION("""COMPUTED_VALUE"""),"Гимназия 11")</f>
        <v>Гимназия 11</v>
      </c>
      <c r="E364" s="5"/>
      <c r="F364" s="5"/>
      <c r="G364" s="5"/>
      <c r="H364" s="5"/>
      <c r="I364" s="5"/>
      <c r="J364" s="5"/>
      <c r="K364" s="5"/>
      <c r="L364" s="5"/>
      <c r="M364">
        <f ca="1">IFERROR(__xludf.DUMMYFUNCTION("""COMPUTED_VALUE"""),0)</f>
        <v>0</v>
      </c>
      <c r="N364" s="8"/>
    </row>
    <row r="365" spans="1:14" ht="12.45" hidden="1">
      <c r="A365" t="str">
        <f ca="1">IFERROR(__xludf.DUMMYFUNCTION("""COMPUTED_VALUE"""),"V-1-524")</f>
        <v>V-1-524</v>
      </c>
      <c r="B365" t="str">
        <f ca="1">IFERROR(__xludf.DUMMYFUNCTION("""COMPUTED_VALUE"""),"Токарев")</f>
        <v>Токарев</v>
      </c>
      <c r="C365" t="str">
        <f ca="1">IFERROR(__xludf.DUMMYFUNCTION("""COMPUTED_VALUE"""),"Евсевий")</f>
        <v>Евсевий</v>
      </c>
      <c r="D365" t="str">
        <f ca="1">IFERROR(__xludf.DUMMYFUNCTION("""COMPUTED_VALUE"""),"Школа 11")</f>
        <v>Школа 11</v>
      </c>
      <c r="E365" s="5"/>
      <c r="F365" s="5"/>
      <c r="G365" s="5"/>
      <c r="H365" s="5"/>
      <c r="I365" s="5"/>
      <c r="J365" s="5"/>
      <c r="K365" s="5"/>
      <c r="L365" s="5"/>
      <c r="M365">
        <f ca="1">IFERROR(__xludf.DUMMYFUNCTION("""COMPUTED_VALUE"""),0)</f>
        <v>0</v>
      </c>
      <c r="N365" s="8"/>
    </row>
    <row r="366" spans="1:14" ht="12.45" hidden="1">
      <c r="A366" t="str">
        <f ca="1">IFERROR(__xludf.DUMMYFUNCTION("""COMPUTED_VALUE"""),"III-1-100")</f>
        <v>III-1-100</v>
      </c>
      <c r="B366" t="str">
        <f ca="1">IFERROR(__xludf.DUMMYFUNCTION("""COMPUTED_VALUE"""),"Вечтомов")</f>
        <v>Вечтомов</v>
      </c>
      <c r="C366" t="str">
        <f ca="1">IFERROR(__xludf.DUMMYFUNCTION("""COMPUTED_VALUE"""),"Иван")</f>
        <v>Иван</v>
      </c>
      <c r="D366" t="str">
        <f ca="1">IFERROR(__xludf.DUMMYFUNCTION("""COMPUTED_VALUE"""),"Школа 306")</f>
        <v>Школа 306</v>
      </c>
      <c r="E366" s="5"/>
      <c r="F366" s="5"/>
      <c r="G366" s="5"/>
      <c r="H366" s="5"/>
      <c r="I366" s="5"/>
      <c r="J366" s="5"/>
      <c r="K366" s="5"/>
      <c r="L366" s="5"/>
      <c r="M366">
        <f ca="1">IFERROR(__xludf.DUMMYFUNCTION("""COMPUTED_VALUE"""),0)</f>
        <v>0</v>
      </c>
      <c r="N366" s="8"/>
    </row>
    <row r="367" spans="1:14" ht="12.45" hidden="1">
      <c r="A367" t="str">
        <f ca="1">IFERROR(__xludf.DUMMYFUNCTION("""COMPUTED_VALUE"""),"III-1-182")</f>
        <v>III-1-182</v>
      </c>
      <c r="B367" t="str">
        <f ca="1">IFERROR(__xludf.DUMMYFUNCTION("""COMPUTED_VALUE"""),"Жидков")</f>
        <v>Жидков</v>
      </c>
      <c r="C367" t="str">
        <f ca="1">IFERROR(__xludf.DUMMYFUNCTION("""COMPUTED_VALUE"""),"Александр")</f>
        <v>Александр</v>
      </c>
      <c r="D367" t="str">
        <f ca="1">IFERROR(__xludf.DUMMYFUNCTION("""COMPUTED_VALUE"""),"Школа 306")</f>
        <v>Школа 306</v>
      </c>
      <c r="E367" s="5"/>
      <c r="F367" s="5"/>
      <c r="G367" s="5"/>
      <c r="H367" s="5"/>
      <c r="I367" s="5"/>
      <c r="J367" s="5"/>
      <c r="K367" s="5"/>
      <c r="L367" s="5"/>
      <c r="M367">
        <f ca="1">IFERROR(__xludf.DUMMYFUNCTION("""COMPUTED_VALUE"""),0)</f>
        <v>0</v>
      </c>
      <c r="N367" s="8"/>
    </row>
    <row r="368" spans="1:14" ht="12.45" hidden="1">
      <c r="A368" t="str">
        <f ca="1">IFERROR(__xludf.DUMMYFUNCTION("""COMPUTED_VALUE"""),"V-1-454")</f>
        <v>V-1-454</v>
      </c>
      <c r="B368" t="str">
        <f ca="1">IFERROR(__xludf.DUMMYFUNCTION("""COMPUTED_VALUE"""),"Сабурова")</f>
        <v>Сабурова</v>
      </c>
      <c r="C368" t="str">
        <f ca="1">IFERROR(__xludf.DUMMYFUNCTION("""COMPUTED_VALUE"""),"Анна")</f>
        <v>Анна</v>
      </c>
      <c r="D368" t="str">
        <f ca="1">IFERROR(__xludf.DUMMYFUNCTION("""COMPUTED_VALUE"""),"Школа 306")</f>
        <v>Школа 306</v>
      </c>
      <c r="E368" s="5"/>
      <c r="F368" s="5"/>
      <c r="G368" s="5"/>
      <c r="H368" s="5"/>
      <c r="I368" s="5"/>
      <c r="J368" s="5"/>
      <c r="K368" s="5"/>
      <c r="L368" s="5"/>
      <c r="M368">
        <f ca="1">IFERROR(__xludf.DUMMYFUNCTION("""COMPUTED_VALUE"""),0)</f>
        <v>0</v>
      </c>
      <c r="N368" s="8"/>
    </row>
    <row r="369" spans="1:14" ht="12.45" hidden="1">
      <c r="A369" t="str">
        <f ca="1">IFERROR(__xludf.DUMMYFUNCTION("""COMPUTED_VALUE"""),"V-1-565")</f>
        <v>V-1-565</v>
      </c>
      <c r="B369" t="str">
        <f ca="1">IFERROR(__xludf.DUMMYFUNCTION("""COMPUTED_VALUE"""),"Хлопотина")</f>
        <v>Хлопотина</v>
      </c>
      <c r="C369" t="str">
        <f ca="1">IFERROR(__xludf.DUMMYFUNCTION("""COMPUTED_VALUE"""),"Амалия")</f>
        <v>Амалия</v>
      </c>
      <c r="D369" t="str">
        <f ca="1">IFERROR(__xludf.DUMMYFUNCTION("""COMPUTED_VALUE"""),"Школа 306")</f>
        <v>Школа 306</v>
      </c>
      <c r="E369" s="5"/>
      <c r="F369" s="5"/>
      <c r="G369" s="5"/>
      <c r="H369" s="5"/>
      <c r="I369" s="5"/>
      <c r="J369" s="5"/>
      <c r="K369" s="5"/>
      <c r="L369" s="5"/>
      <c r="M369">
        <f ca="1">IFERROR(__xludf.DUMMYFUNCTION("""COMPUTED_VALUE"""),0)</f>
        <v>0</v>
      </c>
      <c r="N369" s="8"/>
    </row>
    <row r="370" spans="1:14" ht="12.45" hidden="1">
      <c r="A370" t="str">
        <f ca="1">IFERROR(__xludf.DUMMYFUNCTION("""COMPUTED_VALUE"""),"III-1-123")</f>
        <v>III-1-123</v>
      </c>
      <c r="B370" t="str">
        <f ca="1">IFERROR(__xludf.DUMMYFUNCTION("""COMPUTED_VALUE"""),"Гасенина")</f>
        <v>Гасенина</v>
      </c>
      <c r="C370" t="str">
        <f ca="1">IFERROR(__xludf.DUMMYFUNCTION("""COMPUTED_VALUE"""),"Мария")</f>
        <v>Мария</v>
      </c>
      <c r="D370" t="str">
        <f ca="1">IFERROR(__xludf.DUMMYFUNCTION("""COMPUTED_VALUE"""),"Школа 471")</f>
        <v>Школа 471</v>
      </c>
      <c r="E370" s="5"/>
      <c r="F370" s="5"/>
      <c r="G370" s="5"/>
      <c r="H370" s="5"/>
      <c r="I370" s="5"/>
      <c r="J370" s="5"/>
      <c r="K370" s="5"/>
      <c r="L370" s="5"/>
      <c r="M370">
        <f ca="1">IFERROR(__xludf.DUMMYFUNCTION("""COMPUTED_VALUE"""),0)</f>
        <v>0</v>
      </c>
      <c r="N370" s="8"/>
    </row>
    <row r="371" spans="1:14" ht="12.45" hidden="1">
      <c r="A371" t="str">
        <f ca="1">IFERROR(__xludf.DUMMYFUNCTION("""COMPUTED_VALUE"""),"III-1-227")</f>
        <v>III-1-227</v>
      </c>
      <c r="B371" t="str">
        <f ca="1">IFERROR(__xludf.DUMMYFUNCTION("""COMPUTED_VALUE"""),"Кетов")</f>
        <v>Кетов</v>
      </c>
      <c r="C371" t="str">
        <f ca="1">IFERROR(__xludf.DUMMYFUNCTION("""COMPUTED_VALUE"""),"Николай")</f>
        <v>Николай</v>
      </c>
      <c r="D371" t="str">
        <f ca="1">IFERROR(__xludf.DUMMYFUNCTION("""COMPUTED_VALUE"""),"Школа Квадривиум")</f>
        <v>Школа Квадривиум</v>
      </c>
      <c r="E371" s="5"/>
      <c r="F371" s="5"/>
      <c r="G371" s="5"/>
      <c r="H371" s="5"/>
      <c r="I371" s="5"/>
      <c r="J371" s="5"/>
      <c r="K371" s="5"/>
      <c r="L371" s="5"/>
      <c r="M371">
        <f ca="1">IFERROR(__xludf.DUMMYFUNCTION("""COMPUTED_VALUE"""),0)</f>
        <v>0</v>
      </c>
      <c r="N371" s="8"/>
    </row>
    <row r="372" spans="1:14" ht="12.45" hidden="1">
      <c r="A372" t="str">
        <f ca="1">IFERROR(__xludf.DUMMYFUNCTION("""COMPUTED_VALUE"""),"V-1-550")</f>
        <v>V-1-550</v>
      </c>
      <c r="B372" t="str">
        <f ca="1">IFERROR(__xludf.DUMMYFUNCTION("""COMPUTED_VALUE"""),"Филиппова")</f>
        <v>Филиппова</v>
      </c>
      <c r="C372" t="str">
        <f ca="1">IFERROR(__xludf.DUMMYFUNCTION("""COMPUTED_VALUE"""),"Мария")</f>
        <v>Мария</v>
      </c>
      <c r="D372" t="str">
        <f ca="1">IFERROR(__xludf.DUMMYFUNCTION("""COMPUTED_VALUE"""),"Школа Квадривиум")</f>
        <v>Школа Квадривиум</v>
      </c>
      <c r="E372" s="5"/>
      <c r="F372" s="5"/>
      <c r="G372" s="5"/>
      <c r="H372" s="5"/>
      <c r="I372" s="5"/>
      <c r="J372" s="5"/>
      <c r="K372" s="5"/>
      <c r="L372" s="5"/>
      <c r="M372">
        <f ca="1">IFERROR(__xludf.DUMMYFUNCTION("""COMPUTED_VALUE"""),0)</f>
        <v>0</v>
      </c>
      <c r="N372" s="8"/>
    </row>
    <row r="373" spans="1:14" ht="12.45" hidden="1">
      <c r="A373" t="str">
        <f ca="1">IFERROR(__xludf.DUMMYFUNCTION("""COMPUTED_VALUE"""),"V-1-472")</f>
        <v>V-1-472</v>
      </c>
      <c r="B373" t="str">
        <f ca="1">IFERROR(__xludf.DUMMYFUNCTION("""COMPUTED_VALUE"""),"Синдревич")</f>
        <v>Синдревич</v>
      </c>
      <c r="C373" t="str">
        <f ca="1">IFERROR(__xludf.DUMMYFUNCTION("""COMPUTED_VALUE"""),"Ян")</f>
        <v>Ян</v>
      </c>
      <c r="D373" t="str">
        <f ca="1">IFERROR(__xludf.DUMMYFUNCTION("""COMPUTED_VALUE"""),"Школа 470")</f>
        <v>Школа 470</v>
      </c>
      <c r="E373" s="5"/>
      <c r="F373" s="5"/>
      <c r="G373" s="5"/>
      <c r="H373" s="5"/>
      <c r="I373" s="5"/>
      <c r="J373" s="5"/>
      <c r="K373" s="5"/>
      <c r="L373" s="5"/>
      <c r="M373">
        <f ca="1">IFERROR(__xludf.DUMMYFUNCTION("""COMPUTED_VALUE"""),0)</f>
        <v>0</v>
      </c>
      <c r="N373" s="8"/>
    </row>
    <row r="374" spans="1:14" ht="12.45" hidden="1">
      <c r="A374" t="str">
        <f ca="1">IFERROR(__xludf.DUMMYFUNCTION("""COMPUTED_VALUE"""),"V-1-551")</f>
        <v>V-1-551</v>
      </c>
      <c r="B374" t="str">
        <f ca="1">IFERROR(__xludf.DUMMYFUNCTION("""COMPUTED_VALUE"""),"Фокина")</f>
        <v>Фокина</v>
      </c>
      <c r="C374" t="str">
        <f ca="1">IFERROR(__xludf.DUMMYFUNCTION("""COMPUTED_VALUE"""),"Анна")</f>
        <v>Анна</v>
      </c>
      <c r="D374" t="str">
        <f ca="1">IFERROR(__xludf.DUMMYFUNCTION("""COMPUTED_VALUE"""),"Гимназия 32")</f>
        <v>Гимназия 32</v>
      </c>
      <c r="E374" s="5"/>
      <c r="F374" s="5"/>
      <c r="G374" s="5"/>
      <c r="H374" s="5"/>
      <c r="I374" s="5"/>
      <c r="J374" s="5"/>
      <c r="K374" s="5"/>
      <c r="L374" s="5"/>
      <c r="M374">
        <f ca="1">IFERROR(__xludf.DUMMYFUNCTION("""COMPUTED_VALUE"""),0)</f>
        <v>0</v>
      </c>
      <c r="N374" s="8"/>
    </row>
    <row r="375" spans="1:14" ht="12.45">
      <c r="A375" t="str">
        <f ca="1">IFERROR(__xludf.DUMMYFUNCTION("""COMPUTED_VALUE"""),"III-1-037")</f>
        <v>III-1-037</v>
      </c>
      <c r="B375" t="str">
        <f ca="1">IFERROR(__xludf.DUMMYFUNCTION("""COMPUTED_VALUE"""),"Бадмаева")</f>
        <v>Бадмаева</v>
      </c>
      <c r="C375" t="str">
        <f ca="1">IFERROR(__xludf.DUMMYFUNCTION("""COMPUTED_VALUE"""),"Оксана")</f>
        <v>Оксана</v>
      </c>
      <c r="D375" t="str">
        <f ca="1">IFERROR(__xludf.DUMMYFUNCTION("""COMPUTED_VALUE"""),"Гимназия 3")</f>
        <v>Гимназия 3</v>
      </c>
      <c r="E375" s="5"/>
      <c r="F375" s="5"/>
      <c r="G375" s="5"/>
      <c r="H375" s="5"/>
      <c r="I375" s="5"/>
      <c r="J375" s="5"/>
      <c r="K375" s="5"/>
      <c r="L375" s="5"/>
      <c r="M375">
        <f ca="1">IFERROR(__xludf.DUMMYFUNCTION("""COMPUTED_VALUE"""),0)</f>
        <v>0</v>
      </c>
      <c r="N375" s="8"/>
    </row>
    <row r="376" spans="1:14" ht="12.45">
      <c r="A376" t="str">
        <f ca="1">IFERROR(__xludf.DUMMYFUNCTION("""COMPUTED_VALUE"""),"III-1-038")</f>
        <v>III-1-038</v>
      </c>
      <c r="B376" t="str">
        <f ca="1">IFERROR(__xludf.DUMMYFUNCTION("""COMPUTED_VALUE"""),"Базарова")</f>
        <v>Базарова</v>
      </c>
      <c r="C376" t="str">
        <f ca="1">IFERROR(__xludf.DUMMYFUNCTION("""COMPUTED_VALUE"""),"Ая")</f>
        <v>Ая</v>
      </c>
      <c r="D376" t="str">
        <f ca="1">IFERROR(__xludf.DUMMYFUNCTION("""COMPUTED_VALUE"""),"Гимназия 3")</f>
        <v>Гимназия 3</v>
      </c>
      <c r="E376" s="5"/>
      <c r="F376" s="5"/>
      <c r="G376" s="5"/>
      <c r="H376" s="5"/>
      <c r="I376" s="5"/>
      <c r="J376" s="5"/>
      <c r="K376" s="5"/>
      <c r="L376" s="5"/>
      <c r="M376">
        <f ca="1">IFERROR(__xludf.DUMMYFUNCTION("""COMPUTED_VALUE"""),0)</f>
        <v>0</v>
      </c>
      <c r="N376" s="8"/>
    </row>
    <row r="377" spans="1:14" ht="12.45">
      <c r="A377" t="str">
        <f ca="1">IFERROR(__xludf.DUMMYFUNCTION("""COMPUTED_VALUE"""),"V-1-495")</f>
        <v>V-1-495</v>
      </c>
      <c r="B377" t="str">
        <f ca="1">IFERROR(__xludf.DUMMYFUNCTION("""COMPUTED_VALUE"""),"Степанов")</f>
        <v>Степанов</v>
      </c>
      <c r="C377" t="str">
        <f ca="1">IFERROR(__xludf.DUMMYFUNCTION("""COMPUTED_VALUE"""),"Баир")</f>
        <v>Баир</v>
      </c>
      <c r="D377" t="str">
        <f ca="1">IFERROR(__xludf.DUMMYFUNCTION("""COMPUTED_VALUE"""),"Гимназия 3")</f>
        <v>Гимназия 3</v>
      </c>
      <c r="E377" s="5"/>
      <c r="F377" s="5"/>
      <c r="G377" s="5"/>
      <c r="H377" s="5"/>
      <c r="I377" s="5"/>
      <c r="J377" s="5"/>
      <c r="K377" s="5"/>
      <c r="L377" s="5"/>
      <c r="M377">
        <f ca="1">IFERROR(__xludf.DUMMYFUNCTION("""COMPUTED_VALUE"""),0)</f>
        <v>0</v>
      </c>
      <c r="N377" s="8"/>
    </row>
    <row r="378" spans="1:14" ht="12.45" hidden="1">
      <c r="A378" t="str">
        <f ca="1">IFERROR(__xludf.DUMMYFUNCTION("""COMPUTED_VALUE"""),"III-1-256")</f>
        <v>III-1-256</v>
      </c>
      <c r="B378" t="str">
        <f ca="1">IFERROR(__xludf.DUMMYFUNCTION("""COMPUTED_VALUE"""),"Косолапов")</f>
        <v>Косолапов</v>
      </c>
      <c r="C378" t="str">
        <f ca="1">IFERROR(__xludf.DUMMYFUNCTION("""COMPUTED_VALUE"""),"Андрей")</f>
        <v>Андрей</v>
      </c>
      <c r="D378" t="str">
        <f ca="1">IFERROR(__xludf.DUMMYFUNCTION("""COMPUTED_VALUE"""),"Гимназия 92")</f>
        <v>Гимназия 92</v>
      </c>
      <c r="E378" s="5">
        <f ca="1">IFERROR(__xludf.DUMMYFUNCTION("""COMPUTED_VALUE"""),0)</f>
        <v>0</v>
      </c>
      <c r="F378" s="5">
        <f ca="1">IFERROR(__xludf.DUMMYFUNCTION("""COMPUTED_VALUE"""),0)</f>
        <v>0</v>
      </c>
      <c r="G378" s="5">
        <f ca="1">IFERROR(__xludf.DUMMYFUNCTION("""COMPUTED_VALUE"""),0)</f>
        <v>0</v>
      </c>
      <c r="H378" s="5">
        <f ca="1">IFERROR(__xludf.DUMMYFUNCTION("""COMPUTED_VALUE"""),0)</f>
        <v>0</v>
      </c>
      <c r="I378" s="5">
        <f ca="1">IFERROR(__xludf.DUMMYFUNCTION("""COMPUTED_VALUE"""),0)</f>
        <v>0</v>
      </c>
      <c r="J378" s="5">
        <f ca="1">IFERROR(__xludf.DUMMYFUNCTION("""COMPUTED_VALUE"""),0)</f>
        <v>0</v>
      </c>
      <c r="K378" s="5">
        <f ca="1">IFERROR(__xludf.DUMMYFUNCTION("""COMPUTED_VALUE"""),0)</f>
        <v>0</v>
      </c>
      <c r="L378" s="5">
        <f ca="1">IFERROR(__xludf.DUMMYFUNCTION("""COMPUTED_VALUE"""),0)</f>
        <v>0</v>
      </c>
      <c r="M378">
        <f ca="1">IFERROR(__xludf.DUMMYFUNCTION("""COMPUTED_VALUE"""),0)</f>
        <v>0</v>
      </c>
      <c r="N378" s="8"/>
    </row>
    <row r="379" spans="1:14" ht="12.45" hidden="1">
      <c r="A379" t="str">
        <f ca="1">IFERROR(__xludf.DUMMYFUNCTION("""COMPUTED_VALUE"""),"V-1-476")</f>
        <v>V-1-476</v>
      </c>
      <c r="B379" t="str">
        <f ca="1">IFERROR(__xludf.DUMMYFUNCTION("""COMPUTED_VALUE"""),"Слокотович")</f>
        <v>Слокотович</v>
      </c>
      <c r="C379" t="str">
        <f ca="1">IFERROR(__xludf.DUMMYFUNCTION("""COMPUTED_VALUE"""),"Александр")</f>
        <v>Александр</v>
      </c>
      <c r="D379" t="str">
        <f ca="1">IFERROR(__xludf.DUMMYFUNCTION("""COMPUTED_VALUE"""),"Гимназия 92")</f>
        <v>Гимназия 92</v>
      </c>
      <c r="E379" s="5"/>
      <c r="F379" s="5"/>
      <c r="G379" s="5"/>
      <c r="H379" s="5"/>
      <c r="I379" s="5"/>
      <c r="J379" s="5"/>
      <c r="K379" s="5"/>
      <c r="L379" s="5"/>
      <c r="M379">
        <f ca="1">IFERROR(__xludf.DUMMYFUNCTION("""COMPUTED_VALUE"""),0)</f>
        <v>0</v>
      </c>
      <c r="N379" s="8"/>
    </row>
    <row r="380" spans="1:14" ht="12.45" hidden="1">
      <c r="A380" t="str">
        <f ca="1">IFERROR(__xludf.DUMMYFUNCTION("""COMPUTED_VALUE"""),"V-1-520")</f>
        <v>V-1-520</v>
      </c>
      <c r="B380" t="str">
        <f ca="1">IFERROR(__xludf.DUMMYFUNCTION("""COMPUTED_VALUE"""),"Титовский")</f>
        <v>Титовский</v>
      </c>
      <c r="C380" t="str">
        <f ca="1">IFERROR(__xludf.DUMMYFUNCTION("""COMPUTED_VALUE"""),"Кирилл")</f>
        <v>Кирилл</v>
      </c>
      <c r="D380" t="str">
        <f ca="1">IFERROR(__xludf.DUMMYFUNCTION("""COMPUTED_VALUE"""),"Лицей 486")</f>
        <v>Лицей 486</v>
      </c>
      <c r="E380" s="5"/>
      <c r="F380" s="5"/>
      <c r="G380" s="5"/>
      <c r="H380" s="5"/>
      <c r="I380" s="5"/>
      <c r="J380" s="5"/>
      <c r="K380" s="5"/>
      <c r="L380" s="5"/>
      <c r="M380">
        <f ca="1">IFERROR(__xludf.DUMMYFUNCTION("""COMPUTED_VALUE"""),0)</f>
        <v>0</v>
      </c>
      <c r="N380" s="8"/>
    </row>
    <row r="381" spans="1:14" ht="12.45" hidden="1">
      <c r="A381" t="str">
        <f ca="1">IFERROR(__xludf.DUMMYFUNCTION("""COMPUTED_VALUE"""),"III-1-175")</f>
        <v>III-1-175</v>
      </c>
      <c r="B381" t="str">
        <f ca="1">IFERROR(__xludf.DUMMYFUNCTION("""COMPUTED_VALUE"""),"Ермакова")</f>
        <v>Ермакова</v>
      </c>
      <c r="C381" t="str">
        <f ca="1">IFERROR(__xludf.DUMMYFUNCTION("""COMPUTED_VALUE"""),"Анна")</f>
        <v>Анна</v>
      </c>
      <c r="D381" t="str">
        <f ca="1">IFERROR(__xludf.DUMMYFUNCTION("""COMPUTED_VALUE"""),"Гимназия 271")</f>
        <v>Гимназия 271</v>
      </c>
      <c r="E381" s="5"/>
      <c r="F381" s="5"/>
      <c r="G381" s="5"/>
      <c r="H381" s="5"/>
      <c r="I381" s="5"/>
      <c r="J381" s="5"/>
      <c r="K381" s="5"/>
      <c r="L381" s="5"/>
      <c r="M381">
        <f ca="1">IFERROR(__xludf.DUMMYFUNCTION("""COMPUTED_VALUE"""),0)</f>
        <v>0</v>
      </c>
      <c r="N381" s="8"/>
    </row>
    <row r="382" spans="1:14" ht="12.45" hidden="1">
      <c r="A382" t="str">
        <f ca="1">IFERROR(__xludf.DUMMYFUNCTION("""COMPUTED_VALUE"""),"V-1-509")</f>
        <v>V-1-509</v>
      </c>
      <c r="B382" t="str">
        <f ca="1">IFERROR(__xludf.DUMMYFUNCTION("""COMPUTED_VALUE"""),"Сысоева")</f>
        <v>Сысоева</v>
      </c>
      <c r="C382" t="str">
        <f ca="1">IFERROR(__xludf.DUMMYFUNCTION("""COMPUTED_VALUE"""),"Лидия")</f>
        <v>Лидия</v>
      </c>
      <c r="D382" t="str">
        <f ca="1">IFERROR(__xludf.DUMMYFUNCTION("""COMPUTED_VALUE"""),"Гимназия 271")</f>
        <v>Гимназия 271</v>
      </c>
      <c r="E382" s="5"/>
      <c r="F382" s="5"/>
      <c r="G382" s="5"/>
      <c r="H382" s="5"/>
      <c r="I382" s="5"/>
      <c r="J382" s="5"/>
      <c r="K382" s="5"/>
      <c r="L382" s="5"/>
      <c r="M382">
        <f ca="1">IFERROR(__xludf.DUMMYFUNCTION("""COMPUTED_VALUE"""),0)</f>
        <v>0</v>
      </c>
      <c r="N382" s="8"/>
    </row>
    <row r="383" spans="1:14" ht="12.45" hidden="1">
      <c r="A383" t="str">
        <f ca="1">IFERROR(__xludf.DUMMYFUNCTION("""COMPUTED_VALUE"""),"III-1-021")</f>
        <v>III-1-021</v>
      </c>
      <c r="B383" t="str">
        <f ca="1">IFERROR(__xludf.DUMMYFUNCTION("""COMPUTED_VALUE"""),"Андросова")</f>
        <v>Андросова</v>
      </c>
      <c r="C383" t="str">
        <f ca="1">IFERROR(__xludf.DUMMYFUNCTION("""COMPUTED_VALUE"""),"Ульяна")</f>
        <v>Ульяна</v>
      </c>
      <c r="D383" t="str">
        <f ca="1">IFERROR(__xludf.DUMMYFUNCTION("""COMPUTED_VALUE"""),"Школа 468")</f>
        <v>Школа 468</v>
      </c>
      <c r="E383" s="5"/>
      <c r="F383" s="5"/>
      <c r="G383" s="5"/>
      <c r="H383" s="5"/>
      <c r="I383" s="5"/>
      <c r="J383" s="5"/>
      <c r="K383" s="5"/>
      <c r="L383" s="5"/>
      <c r="M383">
        <f ca="1">IFERROR(__xludf.DUMMYFUNCTION("""COMPUTED_VALUE"""),0)</f>
        <v>0</v>
      </c>
      <c r="N383" s="8"/>
    </row>
    <row r="384" spans="1:14" ht="12.45" hidden="1">
      <c r="A384" t="str">
        <f ca="1">IFERROR(__xludf.DUMMYFUNCTION("""COMPUTED_VALUE"""),"III-1-065")</f>
        <v>III-1-065</v>
      </c>
      <c r="B384" t="str">
        <f ca="1">IFERROR(__xludf.DUMMYFUNCTION("""COMPUTED_VALUE"""),"Богданов")</f>
        <v>Богданов</v>
      </c>
      <c r="C384" t="str">
        <f ca="1">IFERROR(__xludf.DUMMYFUNCTION("""COMPUTED_VALUE"""),"Артём")</f>
        <v>Артём</v>
      </c>
      <c r="D384" t="str">
        <f ca="1">IFERROR(__xludf.DUMMYFUNCTION("""COMPUTED_VALUE"""),"Школа 468")</f>
        <v>Школа 468</v>
      </c>
      <c r="E384" s="5"/>
      <c r="F384" s="5"/>
      <c r="G384" s="5"/>
      <c r="H384" s="5"/>
      <c r="I384" s="5"/>
      <c r="J384" s="5"/>
      <c r="K384" s="5"/>
      <c r="L384" s="5"/>
      <c r="M384">
        <f ca="1">IFERROR(__xludf.DUMMYFUNCTION("""COMPUTED_VALUE"""),0)</f>
        <v>0</v>
      </c>
      <c r="N384" s="8"/>
    </row>
    <row r="385" spans="1:14" ht="12.45" hidden="1">
      <c r="A385" t="str">
        <f ca="1">IFERROR(__xludf.DUMMYFUNCTION("""COMPUTED_VALUE"""),"V-1-522")</f>
        <v>V-1-522</v>
      </c>
      <c r="B385" t="str">
        <f ca="1">IFERROR(__xludf.DUMMYFUNCTION("""COMPUTED_VALUE"""),"Тишковский")</f>
        <v>Тишковский</v>
      </c>
      <c r="C385" t="str">
        <f ca="1">IFERROR(__xludf.DUMMYFUNCTION("""COMPUTED_VALUE"""),"Станислав")</f>
        <v>Станислав</v>
      </c>
      <c r="D385" t="str">
        <f ca="1">IFERROR(__xludf.DUMMYFUNCTION("""COMPUTED_VALUE"""),"Школа 468")</f>
        <v>Школа 468</v>
      </c>
      <c r="E385" s="5"/>
      <c r="F385" s="5"/>
      <c r="G385" s="5"/>
      <c r="H385" s="5"/>
      <c r="I385" s="5"/>
      <c r="J385" s="5"/>
      <c r="K385" s="5"/>
      <c r="L385" s="5"/>
      <c r="M385">
        <f ca="1">IFERROR(__xludf.DUMMYFUNCTION("""COMPUTED_VALUE"""),0)</f>
        <v>0</v>
      </c>
      <c r="N385" s="8"/>
    </row>
    <row r="386" spans="1:14" ht="12.45" hidden="1">
      <c r="A386" t="str">
        <f ca="1">IFERROR(__xludf.DUMMYFUNCTION("""COMPUTED_VALUE"""),"III-1-142")</f>
        <v>III-1-142</v>
      </c>
      <c r="B386" t="str">
        <f ca="1">IFERROR(__xludf.DUMMYFUNCTION("""COMPUTED_VALUE"""),"Гротгус")</f>
        <v>Гротгус</v>
      </c>
      <c r="C386" t="str">
        <f ca="1">IFERROR(__xludf.DUMMYFUNCTION("""COMPUTED_VALUE"""),"Елизавета")</f>
        <v>Елизавета</v>
      </c>
      <c r="D386" t="str">
        <f ca="1">IFERROR(__xludf.DUMMYFUNCTION("""COMPUTED_VALUE"""),"Школа 354")</f>
        <v>Школа 354</v>
      </c>
      <c r="E386" s="5"/>
      <c r="F386" s="5"/>
      <c r="G386" s="5"/>
      <c r="H386" s="5"/>
      <c r="I386" s="5"/>
      <c r="J386" s="5"/>
      <c r="K386" s="5"/>
      <c r="L386" s="5"/>
      <c r="M386">
        <f ca="1">IFERROR(__xludf.DUMMYFUNCTION("""COMPUTED_VALUE"""),0)</f>
        <v>0</v>
      </c>
      <c r="N386" s="8"/>
    </row>
    <row r="387" spans="1:14" ht="12.45" hidden="1">
      <c r="A387" t="str">
        <f ca="1">IFERROR(__xludf.DUMMYFUNCTION("""COMPUTED_VALUE"""),"V-1-492")</f>
        <v>V-1-492</v>
      </c>
      <c r="B387" t="str">
        <f ca="1">IFERROR(__xludf.DUMMYFUNCTION("""COMPUTED_VALUE"""),"Старостина")</f>
        <v>Старостина</v>
      </c>
      <c r="C387" t="str">
        <f ca="1">IFERROR(__xludf.DUMMYFUNCTION("""COMPUTED_VALUE"""),"Мария")</f>
        <v>Мария</v>
      </c>
      <c r="D387" t="str">
        <f ca="1">IFERROR(__xludf.DUMMYFUNCTION("""COMPUTED_VALUE"""),"Школа 354")</f>
        <v>Школа 354</v>
      </c>
      <c r="E387" s="5"/>
      <c r="F387" s="5"/>
      <c r="G387" s="5"/>
      <c r="H387" s="5"/>
      <c r="I387" s="5"/>
      <c r="J387" s="5"/>
      <c r="K387" s="5"/>
      <c r="L387" s="5"/>
      <c r="M387">
        <f ca="1">IFERROR(__xludf.DUMMYFUNCTION("""COMPUTED_VALUE"""),0)</f>
        <v>0</v>
      </c>
      <c r="N387" s="8"/>
    </row>
    <row r="388" spans="1:14" ht="12.45" hidden="1">
      <c r="A388" t="str">
        <f ca="1">IFERROR(__xludf.DUMMYFUNCTION("""COMPUTED_VALUE"""),"V-1-505")</f>
        <v>V-1-505</v>
      </c>
      <c r="B388" t="str">
        <f ca="1">IFERROR(__xludf.DUMMYFUNCTION("""COMPUTED_VALUE"""),"Сухих")</f>
        <v>Сухих</v>
      </c>
      <c r="C388" t="str">
        <f ca="1">IFERROR(__xludf.DUMMYFUNCTION("""COMPUTED_VALUE"""),"Маргарита")</f>
        <v>Маргарита</v>
      </c>
      <c r="D388" t="str">
        <f ca="1">IFERROR(__xludf.DUMMYFUNCTION("""COMPUTED_VALUE"""),"Школа 354")</f>
        <v>Школа 354</v>
      </c>
      <c r="E388" s="5"/>
      <c r="F388" s="5"/>
      <c r="G388" s="5"/>
      <c r="H388" s="5"/>
      <c r="I388" s="5"/>
      <c r="J388" s="5"/>
      <c r="K388" s="5"/>
      <c r="L388" s="5"/>
      <c r="M388">
        <f ca="1">IFERROR(__xludf.DUMMYFUNCTION("""COMPUTED_VALUE"""),0)</f>
        <v>0</v>
      </c>
      <c r="N388" s="8"/>
    </row>
    <row r="389" spans="1:14" ht="12.45" hidden="1">
      <c r="A389" t="str">
        <f ca="1">IFERROR(__xludf.DUMMYFUNCTION("""COMPUTED_VALUE"""),"V-1-367")</f>
        <v>V-1-367</v>
      </c>
      <c r="B389" t="str">
        <f ca="1">IFERROR(__xludf.DUMMYFUNCTION("""COMPUTED_VALUE"""),"Обарухин")</f>
        <v>Обарухин</v>
      </c>
      <c r="C389" t="str">
        <f ca="1">IFERROR(__xludf.DUMMYFUNCTION("""COMPUTED_VALUE"""),"Степан")</f>
        <v>Степан</v>
      </c>
      <c r="D389" t="str">
        <f ca="1">IFERROR(__xludf.DUMMYFUNCTION("""COMPUTED_VALUE"""),"Школа 504")</f>
        <v>Школа 504</v>
      </c>
      <c r="E389" s="5"/>
      <c r="F389" s="5"/>
      <c r="G389" s="5"/>
      <c r="H389" s="5"/>
      <c r="I389" s="5"/>
      <c r="J389" s="5"/>
      <c r="K389" s="5"/>
      <c r="L389" s="5"/>
      <c r="M389">
        <f ca="1">IFERROR(__xludf.DUMMYFUNCTION("""COMPUTED_VALUE"""),0)</f>
        <v>0</v>
      </c>
      <c r="N389" s="8"/>
    </row>
    <row r="390" spans="1:14" ht="12.45" hidden="1">
      <c r="A390" t="str">
        <f ca="1">IFERROR(__xludf.DUMMYFUNCTION("""COMPUTED_VALUE"""),"III-1-101")</f>
        <v>III-1-101</v>
      </c>
      <c r="B390" t="str">
        <f ca="1">IFERROR(__xludf.DUMMYFUNCTION("""COMPUTED_VALUE"""),"Винаева")</f>
        <v>Винаева</v>
      </c>
      <c r="C390" t="str">
        <f ca="1">IFERROR(__xludf.DUMMYFUNCTION("""COMPUTED_VALUE"""),"Милана")</f>
        <v>Милана</v>
      </c>
      <c r="D390" t="str">
        <f ca="1">IFERROR(__xludf.DUMMYFUNCTION("""COMPUTED_VALUE"""),"Лицей 9")</f>
        <v>Лицей 9</v>
      </c>
      <c r="E390" s="5"/>
      <c r="F390" s="5"/>
      <c r="G390" s="5"/>
      <c r="H390" s="5"/>
      <c r="I390" s="5"/>
      <c r="J390" s="5"/>
      <c r="K390" s="5"/>
      <c r="L390" s="5"/>
      <c r="M390">
        <f ca="1">IFERROR(__xludf.DUMMYFUNCTION("""COMPUTED_VALUE"""),0)</f>
        <v>0</v>
      </c>
      <c r="N390" s="8"/>
    </row>
    <row r="391" spans="1:14" ht="12.45" hidden="1">
      <c r="A391" t="str">
        <f ca="1">IFERROR(__xludf.DUMMYFUNCTION("""COMPUTED_VALUE"""),"III-1-184")</f>
        <v>III-1-184</v>
      </c>
      <c r="B391" t="str">
        <f ca="1">IFERROR(__xludf.DUMMYFUNCTION("""COMPUTED_VALUE"""),"Заборянский")</f>
        <v>Заборянский</v>
      </c>
      <c r="C391" t="str">
        <f ca="1">IFERROR(__xludf.DUMMYFUNCTION("""COMPUTED_VALUE"""),"Ян")</f>
        <v>Ян</v>
      </c>
      <c r="D391" t="str">
        <f ca="1">IFERROR(__xludf.DUMMYFUNCTION("""COMPUTED_VALUE"""),"Лицей 9")</f>
        <v>Лицей 9</v>
      </c>
      <c r="E391" s="5"/>
      <c r="F391" s="5"/>
      <c r="G391" s="5"/>
      <c r="H391" s="5"/>
      <c r="I391" s="5"/>
      <c r="J391" s="5"/>
      <c r="K391" s="5"/>
      <c r="L391" s="5"/>
      <c r="M391">
        <f ca="1">IFERROR(__xludf.DUMMYFUNCTION("""COMPUTED_VALUE"""),0)</f>
        <v>0</v>
      </c>
      <c r="N391" s="8"/>
    </row>
    <row r="392" spans="1:14" ht="12.45" hidden="1">
      <c r="A392" t="str">
        <f ca="1">IFERROR(__xludf.DUMMYFUNCTION("""COMPUTED_VALUE"""),"V-1-312")</f>
        <v>V-1-312</v>
      </c>
      <c r="B392" t="str">
        <f ca="1">IFERROR(__xludf.DUMMYFUNCTION("""COMPUTED_VALUE"""),"Малютина")</f>
        <v>Малютина</v>
      </c>
      <c r="C392" t="str">
        <f ca="1">IFERROR(__xludf.DUMMYFUNCTION("""COMPUTED_VALUE"""),"Александра")</f>
        <v>Александра</v>
      </c>
      <c r="D392" t="str">
        <f ca="1">IFERROR(__xludf.DUMMYFUNCTION("""COMPUTED_VALUE"""),"Лицей 9")</f>
        <v>Лицей 9</v>
      </c>
      <c r="E392" s="5"/>
      <c r="F392" s="5"/>
      <c r="G392" s="5"/>
      <c r="H392" s="5"/>
      <c r="I392" s="5"/>
      <c r="J392" s="5"/>
      <c r="K392" s="5"/>
      <c r="L392" s="5"/>
      <c r="M392">
        <f ca="1">IFERROR(__xludf.DUMMYFUNCTION("""COMPUTED_VALUE"""),0)</f>
        <v>0</v>
      </c>
      <c r="N392" s="8"/>
    </row>
    <row r="393" spans="1:14" ht="12.45" hidden="1">
      <c r="A393" t="str">
        <f ca="1">IFERROR(__xludf.DUMMYFUNCTION("""COMPUTED_VALUE"""),"V-1-316")</f>
        <v>V-1-316</v>
      </c>
      <c r="B393" t="str">
        <f ca="1">IFERROR(__xludf.DUMMYFUNCTION("""COMPUTED_VALUE"""),"Матрашилова")</f>
        <v>Матрашилова</v>
      </c>
      <c r="C393" t="str">
        <f ca="1">IFERROR(__xludf.DUMMYFUNCTION("""COMPUTED_VALUE"""),"Елизавета")</f>
        <v>Елизавета</v>
      </c>
      <c r="D393" t="str">
        <f ca="1">IFERROR(__xludf.DUMMYFUNCTION("""COMPUTED_VALUE"""),"Лицей 9")</f>
        <v>Лицей 9</v>
      </c>
      <c r="E393" s="5"/>
      <c r="F393" s="5"/>
      <c r="G393" s="5"/>
      <c r="H393" s="5"/>
      <c r="I393" s="5"/>
      <c r="J393" s="5"/>
      <c r="K393" s="5"/>
      <c r="L393" s="5"/>
      <c r="M393">
        <f ca="1">IFERROR(__xludf.DUMMYFUNCTION("""COMPUTED_VALUE"""),0)</f>
        <v>0</v>
      </c>
      <c r="N393" s="8"/>
    </row>
    <row r="394" spans="1:14" ht="12.45" hidden="1">
      <c r="A394" t="str">
        <f ca="1">IFERROR(__xludf.DUMMYFUNCTION("""COMPUTED_VALUE"""),"V-1-439")</f>
        <v>V-1-439</v>
      </c>
      <c r="B394" t="str">
        <f ca="1">IFERROR(__xludf.DUMMYFUNCTION("""COMPUTED_VALUE"""),"Ржевская")</f>
        <v>Ржевская</v>
      </c>
      <c r="C394" t="str">
        <f ca="1">IFERROR(__xludf.DUMMYFUNCTION("""COMPUTED_VALUE"""),"Анастасия")</f>
        <v>Анастасия</v>
      </c>
      <c r="D394" t="str">
        <f ca="1">IFERROR(__xludf.DUMMYFUNCTION("""COMPUTED_VALUE"""),"Лицей 9")</f>
        <v>Лицей 9</v>
      </c>
      <c r="E394" s="5"/>
      <c r="F394" s="5"/>
      <c r="G394" s="5"/>
      <c r="H394" s="5"/>
      <c r="I394" s="5"/>
      <c r="J394" s="5"/>
      <c r="K394" s="5"/>
      <c r="L394" s="5"/>
      <c r="M394">
        <f ca="1">IFERROR(__xludf.DUMMYFUNCTION("""COMPUTED_VALUE"""),0)</f>
        <v>0</v>
      </c>
      <c r="N394" s="8"/>
    </row>
    <row r="395" spans="1:14" ht="12.45" hidden="1">
      <c r="A395" t="str">
        <f ca="1">IFERROR(__xludf.DUMMYFUNCTION("""COMPUTED_VALUE"""),"V-1-583")</f>
        <v>V-1-583</v>
      </c>
      <c r="B395" t="str">
        <f ca="1">IFERROR(__xludf.DUMMYFUNCTION("""COMPUTED_VALUE"""),"Чуев")</f>
        <v>Чуев</v>
      </c>
      <c r="C395" t="str">
        <f ca="1">IFERROR(__xludf.DUMMYFUNCTION("""COMPUTED_VALUE"""),"Евгений")</f>
        <v>Евгений</v>
      </c>
      <c r="D395" t="str">
        <f ca="1">IFERROR(__xludf.DUMMYFUNCTION("""COMPUTED_VALUE"""),"Лицей 9")</f>
        <v>Лицей 9</v>
      </c>
      <c r="E395" s="5"/>
      <c r="F395" s="5"/>
      <c r="G395" s="5"/>
      <c r="H395" s="5"/>
      <c r="I395" s="5"/>
      <c r="J395" s="5"/>
      <c r="K395" s="5"/>
      <c r="L395" s="5"/>
      <c r="M395">
        <f ca="1">IFERROR(__xludf.DUMMYFUNCTION("""COMPUTED_VALUE"""),0)</f>
        <v>0</v>
      </c>
      <c r="N395" s="8"/>
    </row>
    <row r="396" spans="1:14" ht="12.45" hidden="1">
      <c r="A396" t="str">
        <f ca="1">IFERROR(__xludf.DUMMYFUNCTION("""COMPUTED_VALUE"""),"III-1-159")</f>
        <v>III-1-159</v>
      </c>
      <c r="B396" t="str">
        <f ca="1">IFERROR(__xludf.DUMMYFUNCTION("""COMPUTED_VALUE"""),"Джан")</f>
        <v>Джан</v>
      </c>
      <c r="C396" t="str">
        <f ca="1">IFERROR(__xludf.DUMMYFUNCTION("""COMPUTED_VALUE"""),"Таймур")</f>
        <v>Таймур</v>
      </c>
      <c r="D396" t="str">
        <f ca="1">IFERROR(__xludf.DUMMYFUNCTION("""COMPUTED_VALUE"""),"Школа 473")</f>
        <v>Школа 473</v>
      </c>
      <c r="E396" s="5"/>
      <c r="F396" s="5"/>
      <c r="G396" s="5"/>
      <c r="H396" s="5"/>
      <c r="I396" s="5"/>
      <c r="J396" s="5"/>
      <c r="K396" s="5"/>
      <c r="L396" s="5"/>
      <c r="M396">
        <f ca="1">IFERROR(__xludf.DUMMYFUNCTION("""COMPUTED_VALUE"""),0)</f>
        <v>0</v>
      </c>
      <c r="N396" s="8"/>
    </row>
    <row r="397" spans="1:14" ht="12.45" hidden="1">
      <c r="A397" t="str">
        <f ca="1">IFERROR(__xludf.DUMMYFUNCTION("""COMPUTED_VALUE"""),"III-1-245")</f>
        <v>III-1-245</v>
      </c>
      <c r="B397" t="str">
        <f ca="1">IFERROR(__xludf.DUMMYFUNCTION("""COMPUTED_VALUE"""),"Комиссаров")</f>
        <v>Комиссаров</v>
      </c>
      <c r="C397" t="str">
        <f ca="1">IFERROR(__xludf.DUMMYFUNCTION("""COMPUTED_VALUE"""),"Никита")</f>
        <v>Никита</v>
      </c>
      <c r="D397" t="str">
        <f ca="1">IFERROR(__xludf.DUMMYFUNCTION("""COMPUTED_VALUE"""),"Лицей 393")</f>
        <v>Лицей 393</v>
      </c>
      <c r="E397" s="5"/>
      <c r="F397" s="5"/>
      <c r="G397" s="5"/>
      <c r="H397" s="5"/>
      <c r="I397" s="5"/>
      <c r="J397" s="5"/>
      <c r="K397" s="5"/>
      <c r="L397" s="5"/>
      <c r="M397">
        <f ca="1">IFERROR(__xludf.DUMMYFUNCTION("""COMPUTED_VALUE"""),0)</f>
        <v>0</v>
      </c>
      <c r="N397" s="8"/>
    </row>
    <row r="398" spans="1:14" ht="12.45" hidden="1">
      <c r="A398" t="str">
        <f ca="1">IFERROR(__xludf.DUMMYFUNCTION("""COMPUTED_VALUE"""),"III-1-232")</f>
        <v>III-1-232</v>
      </c>
      <c r="B398" t="str">
        <f ca="1">IFERROR(__xludf.DUMMYFUNCTION("""COMPUTED_VALUE"""),"Клементьева")</f>
        <v>Клементьева</v>
      </c>
      <c r="C398" t="str">
        <f ca="1">IFERROR(__xludf.DUMMYFUNCTION("""COMPUTED_VALUE"""),"Ева")</f>
        <v>Ева</v>
      </c>
      <c r="D398" t="str">
        <f ca="1">IFERROR(__xludf.DUMMYFUNCTION("""COMPUTED_VALUE"""),"Школа 655")</f>
        <v>Школа 655</v>
      </c>
      <c r="E398" s="5"/>
      <c r="F398" s="5"/>
      <c r="G398" s="5"/>
      <c r="H398" s="5"/>
      <c r="I398" s="5"/>
      <c r="J398" s="5"/>
      <c r="K398" s="5"/>
      <c r="L398" s="5"/>
      <c r="M398">
        <f ca="1">IFERROR(__xludf.DUMMYFUNCTION("""COMPUTED_VALUE"""),0)</f>
        <v>0</v>
      </c>
      <c r="N398" s="8"/>
    </row>
    <row r="399" spans="1:14" ht="12.45" hidden="1">
      <c r="A399" t="str">
        <f ca="1">IFERROR(__xludf.DUMMYFUNCTION("""COMPUTED_VALUE"""),"III-1-281")</f>
        <v>III-1-281</v>
      </c>
      <c r="B399" t="str">
        <f ca="1">IFERROR(__xludf.DUMMYFUNCTION("""COMPUTED_VALUE"""),"Кучинский")</f>
        <v>Кучинский</v>
      </c>
      <c r="C399" t="str">
        <f ca="1">IFERROR(__xludf.DUMMYFUNCTION("""COMPUTED_VALUE"""),"Семен")</f>
        <v>Семен</v>
      </c>
      <c r="D399" t="str">
        <f ca="1">IFERROR(__xludf.DUMMYFUNCTION("""COMPUTED_VALUE"""),"Школа 655")</f>
        <v>Школа 655</v>
      </c>
      <c r="E399" s="5"/>
      <c r="F399" s="5"/>
      <c r="G399" s="5"/>
      <c r="H399" s="5"/>
      <c r="I399" s="5"/>
      <c r="J399" s="5"/>
      <c r="K399" s="5"/>
      <c r="L399" s="5"/>
      <c r="M399">
        <f ca="1">IFERROR(__xludf.DUMMYFUNCTION("""COMPUTED_VALUE"""),0)</f>
        <v>0</v>
      </c>
      <c r="N399" s="8"/>
    </row>
    <row r="400" spans="1:14" ht="12.45" hidden="1">
      <c r="A400" t="str">
        <f ca="1">IFERROR(__xludf.DUMMYFUNCTION("""COMPUTED_VALUE"""),"III-1-203")</f>
        <v>III-1-203</v>
      </c>
      <c r="B400" t="str">
        <f ca="1">IFERROR(__xludf.DUMMYFUNCTION("""COMPUTED_VALUE"""),"Иванова")</f>
        <v>Иванова</v>
      </c>
      <c r="C400" t="str">
        <f ca="1">IFERROR(__xludf.DUMMYFUNCTION("""COMPUTED_VALUE"""),"Софья")</f>
        <v>Софья</v>
      </c>
      <c r="D400" t="str">
        <f ca="1">IFERROR(__xludf.DUMMYFUNCTION("""COMPUTED_VALUE"""),"Гимназия 56")</f>
        <v>Гимназия 56</v>
      </c>
      <c r="E400" s="5"/>
      <c r="F400" s="5"/>
      <c r="G400" s="5"/>
      <c r="H400" s="5"/>
      <c r="I400" s="5"/>
      <c r="J400" s="5"/>
      <c r="K400" s="5"/>
      <c r="L400" s="5"/>
      <c r="M400">
        <f ca="1">IFERROR(__xludf.DUMMYFUNCTION("""COMPUTED_VALUE"""),0)</f>
        <v>0</v>
      </c>
      <c r="N400" s="8"/>
    </row>
    <row r="401" spans="1:14" ht="12.45" hidden="1">
      <c r="A401" t="str">
        <f ca="1">IFERROR(__xludf.DUMMYFUNCTION("""COMPUTED_VALUE"""),"V-1-415")</f>
        <v>V-1-415</v>
      </c>
      <c r="B401" t="str">
        <f ca="1">IFERROR(__xludf.DUMMYFUNCTION("""COMPUTED_VALUE"""),"Полярус")</f>
        <v>Полярус</v>
      </c>
      <c r="C401" t="str">
        <f ca="1">IFERROR(__xludf.DUMMYFUNCTION("""COMPUTED_VALUE"""),"Денис")</f>
        <v>Денис</v>
      </c>
      <c r="D401" t="str">
        <f ca="1">IFERROR(__xludf.DUMMYFUNCTION("""COMPUTED_VALUE"""),"Гимназия 73")</f>
        <v>Гимназия 73</v>
      </c>
      <c r="E401" s="5"/>
      <c r="F401" s="5"/>
      <c r="G401" s="5"/>
      <c r="H401" s="5"/>
      <c r="I401" s="5"/>
      <c r="J401" s="5"/>
      <c r="K401" s="5"/>
      <c r="L401" s="5"/>
      <c r="M401">
        <f ca="1">IFERROR(__xludf.DUMMYFUNCTION("""COMPUTED_VALUE"""),0)</f>
        <v>0</v>
      </c>
      <c r="N401" s="8"/>
    </row>
    <row r="402" spans="1:14" ht="12.45" hidden="1">
      <c r="A402" t="str">
        <f ca="1">IFERROR(__xludf.DUMMYFUNCTION("""COMPUTED_VALUE"""),"V-1-506")</f>
        <v>V-1-506</v>
      </c>
      <c r="B402" t="str">
        <f ca="1">IFERROR(__xludf.DUMMYFUNCTION("""COMPUTED_VALUE"""),"сучкова")</f>
        <v>сучкова</v>
      </c>
      <c r="C402" t="str">
        <f ca="1">IFERROR(__xludf.DUMMYFUNCTION("""COMPUTED_VALUE"""),"нина")</f>
        <v>нина</v>
      </c>
      <c r="D402" t="str">
        <f ca="1">IFERROR(__xludf.DUMMYFUNCTION("""COMPUTED_VALUE"""),"Школа 471")</f>
        <v>Школа 471</v>
      </c>
      <c r="E402" s="5"/>
      <c r="F402" s="5"/>
      <c r="G402" s="5"/>
      <c r="H402" s="5"/>
      <c r="I402" s="5"/>
      <c r="J402" s="5"/>
      <c r="K402" s="5"/>
      <c r="L402" s="5"/>
      <c r="M402">
        <f ca="1">IFERROR(__xludf.DUMMYFUNCTION("""COMPUTED_VALUE"""),0)</f>
        <v>0</v>
      </c>
      <c r="N402" s="8"/>
    </row>
    <row r="403" spans="1:14" ht="12.45" hidden="1">
      <c r="A403" t="str">
        <f ca="1">IFERROR(__xludf.DUMMYFUNCTION("""COMPUTED_VALUE"""),"III-1-265")</f>
        <v>III-1-265</v>
      </c>
      <c r="B403" t="str">
        <f ca="1">IFERROR(__xludf.DUMMYFUNCTION("""COMPUTED_VALUE"""),"кочнева")</f>
        <v>кочнева</v>
      </c>
      <c r="C403" t="str">
        <f ca="1">IFERROR(__xludf.DUMMYFUNCTION("""COMPUTED_VALUE"""),"лидия")</f>
        <v>лидия</v>
      </c>
      <c r="D403" t="str">
        <f ca="1">IFERROR(__xludf.DUMMYFUNCTION("""COMPUTED_VALUE"""),"Школа 532")</f>
        <v>Школа 532</v>
      </c>
      <c r="E403" s="5"/>
      <c r="F403" s="5"/>
      <c r="G403" s="5"/>
      <c r="H403" s="5"/>
      <c r="I403" s="5"/>
      <c r="J403" s="5"/>
      <c r="K403" s="5"/>
      <c r="L403" s="5"/>
      <c r="M403">
        <f ca="1">IFERROR(__xludf.DUMMYFUNCTION("""COMPUTED_VALUE"""),0)</f>
        <v>0</v>
      </c>
      <c r="N403" s="8"/>
    </row>
    <row r="404" spans="1:14" ht="12.45" hidden="1">
      <c r="A404" t="str">
        <f ca="1">IFERROR(__xludf.DUMMYFUNCTION("""COMPUTED_VALUE"""),"III-1-296")</f>
        <v>III-1-296</v>
      </c>
      <c r="B404" t="str">
        <f ca="1">IFERROR(__xludf.DUMMYFUNCTION("""COMPUTED_VALUE"""),"Лодыгин")</f>
        <v>Лодыгин</v>
      </c>
      <c r="C404" t="str">
        <f ca="1">IFERROR(__xludf.DUMMYFUNCTION("""COMPUTED_VALUE"""),"Никита")</f>
        <v>Никита</v>
      </c>
      <c r="D404" t="str">
        <f ca="1">IFERROR(__xludf.DUMMYFUNCTION("""COMPUTED_VALUE"""),"Школа 532")</f>
        <v>Школа 532</v>
      </c>
      <c r="E404" s="5"/>
      <c r="F404" s="5"/>
      <c r="G404" s="5"/>
      <c r="H404" s="5"/>
      <c r="I404" s="5"/>
      <c r="J404" s="5"/>
      <c r="K404" s="5"/>
      <c r="L404" s="5"/>
      <c r="M404">
        <f ca="1">IFERROR(__xludf.DUMMYFUNCTION("""COMPUTED_VALUE"""),0)</f>
        <v>0</v>
      </c>
      <c r="N404" s="8"/>
    </row>
    <row r="405" spans="1:14" ht="12.45" hidden="1">
      <c r="A405" t="str">
        <f ca="1">IFERROR(__xludf.DUMMYFUNCTION("""COMPUTED_VALUE"""),"III-1-300")</f>
        <v>III-1-300</v>
      </c>
      <c r="B405" t="str">
        <f ca="1">IFERROR(__xludf.DUMMYFUNCTION("""COMPUTED_VALUE"""),"Лукин")</f>
        <v>Лукин</v>
      </c>
      <c r="C405" t="str">
        <f ca="1">IFERROR(__xludf.DUMMYFUNCTION("""COMPUTED_VALUE"""),"Вадим")</f>
        <v>Вадим</v>
      </c>
      <c r="D405" t="str">
        <f ca="1">IFERROR(__xludf.DUMMYFUNCTION("""COMPUTED_VALUE"""),"Школа 532")</f>
        <v>Школа 532</v>
      </c>
      <c r="E405" s="5"/>
      <c r="F405" s="5"/>
      <c r="G405" s="5"/>
      <c r="H405" s="5"/>
      <c r="I405" s="5"/>
      <c r="J405" s="5"/>
      <c r="K405" s="5"/>
      <c r="L405" s="5"/>
      <c r="M405">
        <f ca="1">IFERROR(__xludf.DUMMYFUNCTION("""COMPUTED_VALUE"""),0)</f>
        <v>0</v>
      </c>
      <c r="N405" s="8"/>
    </row>
    <row r="406" spans="1:14" ht="12.45" hidden="1">
      <c r="A406" t="str">
        <f ca="1">IFERROR(__xludf.DUMMYFUNCTION("""COMPUTED_VALUE"""),"V-1-340")</f>
        <v>V-1-340</v>
      </c>
      <c r="B406" t="str">
        <f ca="1">IFERROR(__xludf.DUMMYFUNCTION("""COMPUTED_VALUE"""),"Мошников")</f>
        <v>Мошников</v>
      </c>
      <c r="C406" t="str">
        <f ca="1">IFERROR(__xludf.DUMMYFUNCTION("""COMPUTED_VALUE"""),"Михаил")</f>
        <v>Михаил</v>
      </c>
      <c r="D406" t="str">
        <f ca="1">IFERROR(__xludf.DUMMYFUNCTION("""COMPUTED_VALUE"""),"Школа 532")</f>
        <v>Школа 532</v>
      </c>
      <c r="E406" s="5"/>
      <c r="F406" s="5"/>
      <c r="G406" s="5"/>
      <c r="H406" s="5"/>
      <c r="I406" s="5"/>
      <c r="J406" s="5"/>
      <c r="K406" s="5"/>
      <c r="L406" s="5"/>
      <c r="M406">
        <f ca="1">IFERROR(__xludf.DUMMYFUNCTION("""COMPUTED_VALUE"""),0)</f>
        <v>0</v>
      </c>
      <c r="N406" s="8"/>
    </row>
    <row r="407" spans="1:14" ht="12.45" hidden="1">
      <c r="A407" t="str">
        <f ca="1">IFERROR(__xludf.DUMMYFUNCTION("""COMPUTED_VALUE"""),"V-1-359")</f>
        <v>V-1-359</v>
      </c>
      <c r="B407" t="str">
        <f ca="1">IFERROR(__xludf.DUMMYFUNCTION("""COMPUTED_VALUE"""),"Николаев")</f>
        <v>Николаев</v>
      </c>
      <c r="C407" t="str">
        <f ca="1">IFERROR(__xludf.DUMMYFUNCTION("""COMPUTED_VALUE"""),"Михаил")</f>
        <v>Михаил</v>
      </c>
      <c r="D407" t="str">
        <f ca="1">IFERROR(__xludf.DUMMYFUNCTION("""COMPUTED_VALUE"""),"Школа 532")</f>
        <v>Школа 532</v>
      </c>
      <c r="E407" s="5"/>
      <c r="F407" s="5"/>
      <c r="G407" s="5"/>
      <c r="H407" s="5"/>
      <c r="I407" s="5"/>
      <c r="J407" s="5"/>
      <c r="K407" s="5"/>
      <c r="L407" s="5"/>
      <c r="M407">
        <f ca="1">IFERROR(__xludf.DUMMYFUNCTION("""COMPUTED_VALUE"""),0)</f>
        <v>0</v>
      </c>
      <c r="N407" s="8"/>
    </row>
    <row r="408" spans="1:14" ht="12.45" hidden="1">
      <c r="A408" t="str">
        <f ca="1">IFERROR(__xludf.DUMMYFUNCTION("""COMPUTED_VALUE"""),"V-1-362")</f>
        <v>V-1-362</v>
      </c>
      <c r="B408" t="str">
        <f ca="1">IFERROR(__xludf.DUMMYFUNCTION("""COMPUTED_VALUE"""),"Новрузов")</f>
        <v>Новрузов</v>
      </c>
      <c r="C408" t="str">
        <f ca="1">IFERROR(__xludf.DUMMYFUNCTION("""COMPUTED_VALUE"""),"Умар")</f>
        <v>Умар</v>
      </c>
      <c r="D408" t="str">
        <f ca="1">IFERROR(__xludf.DUMMYFUNCTION("""COMPUTED_VALUE"""),"Школа 532")</f>
        <v>Школа 532</v>
      </c>
      <c r="E408" s="5"/>
      <c r="F408" s="5"/>
      <c r="G408" s="5"/>
      <c r="H408" s="5"/>
      <c r="I408" s="5"/>
      <c r="J408" s="5"/>
      <c r="K408" s="5"/>
      <c r="L408" s="5"/>
      <c r="M408">
        <f ca="1">IFERROR(__xludf.DUMMYFUNCTION("""COMPUTED_VALUE"""),0)</f>
        <v>0</v>
      </c>
      <c r="N408" s="8"/>
    </row>
    <row r="409" spans="1:14" ht="12.45" hidden="1">
      <c r="A409" t="str">
        <f ca="1">IFERROR(__xludf.DUMMYFUNCTION("""COMPUTED_VALUE"""),"V-1-408")</f>
        <v>V-1-408</v>
      </c>
      <c r="B409" t="str">
        <f ca="1">IFERROR(__xludf.DUMMYFUNCTION("""COMPUTED_VALUE"""),"Подковыров")</f>
        <v>Подковыров</v>
      </c>
      <c r="C409" t="str">
        <f ca="1">IFERROR(__xludf.DUMMYFUNCTION("""COMPUTED_VALUE"""),"Вячеслав")</f>
        <v>Вячеслав</v>
      </c>
      <c r="D409" t="str">
        <f ca="1">IFERROR(__xludf.DUMMYFUNCTION("""COMPUTED_VALUE"""),"Школа 532")</f>
        <v>Школа 532</v>
      </c>
      <c r="E409" s="5"/>
      <c r="F409" s="5"/>
      <c r="G409" s="5"/>
      <c r="H409" s="5"/>
      <c r="I409" s="5"/>
      <c r="J409" s="5"/>
      <c r="K409" s="5"/>
      <c r="L409" s="5"/>
      <c r="M409">
        <f ca="1">IFERROR(__xludf.DUMMYFUNCTION("""COMPUTED_VALUE"""),0)</f>
        <v>0</v>
      </c>
      <c r="N409" s="8"/>
    </row>
    <row r="410" spans="1:14" ht="12.45" hidden="1">
      <c r="A410" t="str">
        <f ca="1">IFERROR(__xludf.DUMMYFUNCTION("""COMPUTED_VALUE"""),"V-1-431")</f>
        <v>V-1-431</v>
      </c>
      <c r="B410" t="str">
        <f ca="1">IFERROR(__xludf.DUMMYFUNCTION("""COMPUTED_VALUE"""),"Раевская")</f>
        <v>Раевская</v>
      </c>
      <c r="C410" t="str">
        <f ca="1">IFERROR(__xludf.DUMMYFUNCTION("""COMPUTED_VALUE"""),"София")</f>
        <v>София</v>
      </c>
      <c r="D410" t="str">
        <f ca="1">IFERROR(__xludf.DUMMYFUNCTION("""COMPUTED_VALUE"""),"Школа 532")</f>
        <v>Школа 532</v>
      </c>
      <c r="E410" s="5"/>
      <c r="F410" s="5"/>
      <c r="G410" s="5"/>
      <c r="H410" s="5"/>
      <c r="I410" s="5"/>
      <c r="J410" s="5"/>
      <c r="K410" s="5"/>
      <c r="L410" s="5"/>
      <c r="M410">
        <f ca="1">IFERROR(__xludf.DUMMYFUNCTION("""COMPUTED_VALUE"""),0)</f>
        <v>0</v>
      </c>
      <c r="N410" s="8"/>
    </row>
    <row r="411" spans="1:14" ht="12.45" hidden="1">
      <c r="A411" t="str">
        <f ca="1">IFERROR(__xludf.DUMMYFUNCTION("""COMPUTED_VALUE"""),"V-1-478")</f>
        <v>V-1-478</v>
      </c>
      <c r="B411" t="str">
        <f ca="1">IFERROR(__xludf.DUMMYFUNCTION("""COMPUTED_VALUE"""),"Смирнова")</f>
        <v>Смирнова</v>
      </c>
      <c r="C411" t="str">
        <f ca="1">IFERROR(__xludf.DUMMYFUNCTION("""COMPUTED_VALUE"""),"Кира")</f>
        <v>Кира</v>
      </c>
      <c r="D411" t="str">
        <f ca="1">IFERROR(__xludf.DUMMYFUNCTION("""COMPUTED_VALUE"""),"Школа 532")</f>
        <v>Школа 532</v>
      </c>
      <c r="E411" s="5"/>
      <c r="F411" s="5"/>
      <c r="G411" s="5"/>
      <c r="H411" s="5"/>
      <c r="I411" s="5"/>
      <c r="J411" s="5"/>
      <c r="K411" s="5"/>
      <c r="L411" s="5"/>
      <c r="M411">
        <f ca="1">IFERROR(__xludf.DUMMYFUNCTION("""COMPUTED_VALUE"""),0)</f>
        <v>0</v>
      </c>
      <c r="N411" s="8"/>
    </row>
    <row r="412" spans="1:14" ht="12.45" hidden="1">
      <c r="A412" t="str">
        <f ca="1">IFERROR(__xludf.DUMMYFUNCTION("""COMPUTED_VALUE"""),"V-1-548")</f>
        <v>V-1-548</v>
      </c>
      <c r="B412" t="str">
        <f ca="1">IFERROR(__xludf.DUMMYFUNCTION("""COMPUTED_VALUE"""),"Филиппов")</f>
        <v>Филиппов</v>
      </c>
      <c r="C412" t="str">
        <f ca="1">IFERROR(__xludf.DUMMYFUNCTION("""COMPUTED_VALUE"""),"Даниил")</f>
        <v>Даниил</v>
      </c>
      <c r="D412" t="str">
        <f ca="1">IFERROR(__xludf.DUMMYFUNCTION("""COMPUTED_VALUE"""),"Школа 532")</f>
        <v>Школа 532</v>
      </c>
      <c r="E412" s="5"/>
      <c r="F412" s="5"/>
      <c r="G412" s="5"/>
      <c r="H412" s="5"/>
      <c r="I412" s="5"/>
      <c r="J412" s="5"/>
      <c r="K412" s="5"/>
      <c r="L412" s="5"/>
      <c r="M412">
        <f ca="1">IFERROR(__xludf.DUMMYFUNCTION("""COMPUTED_VALUE"""),0)</f>
        <v>0</v>
      </c>
      <c r="N412" s="8"/>
    </row>
    <row r="413" spans="1:14" ht="12.45" hidden="1">
      <c r="A413" t="str">
        <f ca="1">IFERROR(__xludf.DUMMYFUNCTION("""COMPUTED_VALUE"""),"III-1-176")</f>
        <v>III-1-176</v>
      </c>
      <c r="B413" t="str">
        <f ca="1">IFERROR(__xludf.DUMMYFUNCTION("""COMPUTED_VALUE"""),"Ермоленко")</f>
        <v>Ермоленко</v>
      </c>
      <c r="C413" t="str">
        <f ca="1">IFERROR(__xludf.DUMMYFUNCTION("""COMPUTED_VALUE"""),"Денис")</f>
        <v>Денис</v>
      </c>
      <c r="D413" t="str">
        <f ca="1">IFERROR(__xludf.DUMMYFUNCTION("""COMPUTED_VALUE"""),"Школа 246")</f>
        <v>Школа 246</v>
      </c>
      <c r="E413" s="5"/>
      <c r="F413" s="5"/>
      <c r="G413" s="5"/>
      <c r="H413" s="5"/>
      <c r="I413" s="5"/>
      <c r="J413" s="5"/>
      <c r="K413" s="5"/>
      <c r="L413" s="5"/>
      <c r="M413">
        <f ca="1">IFERROR(__xludf.DUMMYFUNCTION("""COMPUTED_VALUE"""),0)</f>
        <v>0</v>
      </c>
      <c r="N413" s="8"/>
    </row>
    <row r="414" spans="1:14" ht="12.45" hidden="1">
      <c r="A414" t="str">
        <f ca="1">IFERROR(__xludf.DUMMYFUNCTION("""COMPUTED_VALUE"""),"V-1-536")</f>
        <v>V-1-536</v>
      </c>
      <c r="B414" t="str">
        <f ca="1">IFERROR(__xludf.DUMMYFUNCTION("""COMPUTED_VALUE"""),"Ухарцева")</f>
        <v>Ухарцева</v>
      </c>
      <c r="C414" t="str">
        <f ca="1">IFERROR(__xludf.DUMMYFUNCTION("""COMPUTED_VALUE"""),"Маргарита")</f>
        <v>Маргарита</v>
      </c>
      <c r="D414" t="str">
        <f ca="1">IFERROR(__xludf.DUMMYFUNCTION("""COMPUTED_VALUE"""),"Лицей 344")</f>
        <v>Лицей 344</v>
      </c>
      <c r="E414" s="5"/>
      <c r="F414" s="5"/>
      <c r="G414" s="5"/>
      <c r="H414" s="5"/>
      <c r="I414" s="5"/>
      <c r="J414" s="5"/>
      <c r="K414" s="5"/>
      <c r="L414" s="5"/>
      <c r="M414">
        <f ca="1">IFERROR(__xludf.DUMMYFUNCTION("""COMPUTED_VALUE"""),0)</f>
        <v>0</v>
      </c>
      <c r="N414" s="8"/>
    </row>
    <row r="415" spans="1:14" ht="12.45" hidden="1">
      <c r="A415" t="str">
        <f ca="1">IFERROR(__xludf.DUMMYFUNCTION("""COMPUTED_VALUE"""),"V-1-611")</f>
        <v>V-1-611</v>
      </c>
      <c r="B415" t="str">
        <f ca="1">IFERROR(__xludf.DUMMYFUNCTION("""COMPUTED_VALUE"""),"Якобсон")</f>
        <v>Якобсон</v>
      </c>
      <c r="C415" t="str">
        <f ca="1">IFERROR(__xludf.DUMMYFUNCTION("""COMPUTED_VALUE"""),"Кирилл")</f>
        <v>Кирилл</v>
      </c>
      <c r="D415" t="str">
        <f ca="1">IFERROR(__xludf.DUMMYFUNCTION("""COMPUTED_VALUE"""),"Гимназия 41")</f>
        <v>Гимназия 41</v>
      </c>
      <c r="E415" s="5"/>
      <c r="F415" s="5"/>
      <c r="G415" s="5"/>
      <c r="H415" s="5"/>
      <c r="I415" s="5"/>
      <c r="J415" s="5"/>
      <c r="K415" s="5"/>
      <c r="L415" s="5"/>
      <c r="M415">
        <f ca="1">IFERROR(__xludf.DUMMYFUNCTION("""COMPUTED_VALUE"""),0)</f>
        <v>0</v>
      </c>
      <c r="N415" s="8"/>
    </row>
    <row r="416" spans="1:14" ht="12.45" hidden="1">
      <c r="A416" t="str">
        <f ca="1">IFERROR(__xludf.DUMMYFUNCTION("""COMPUTED_VALUE"""),"III-1-009")</f>
        <v>III-1-009</v>
      </c>
      <c r="B416" t="str">
        <f ca="1">IFERROR(__xludf.DUMMYFUNCTION("""COMPUTED_VALUE"""),"Алдеева")</f>
        <v>Алдеева</v>
      </c>
      <c r="C416" t="str">
        <f ca="1">IFERROR(__xludf.DUMMYFUNCTION("""COMPUTED_VALUE"""),"Златослава")</f>
        <v>Златослава</v>
      </c>
      <c r="D416" t="str">
        <f ca="1">IFERROR(__xludf.DUMMYFUNCTION("""COMPUTED_VALUE"""),"Школа ЧОУ НОО ""Умный мир""")</f>
        <v>Школа ЧОУ НОО "Умный мир"</v>
      </c>
      <c r="E416" s="5"/>
      <c r="F416" s="5"/>
      <c r="G416" s="5"/>
      <c r="H416" s="5"/>
      <c r="I416" s="5"/>
      <c r="J416" s="5"/>
      <c r="K416" s="5"/>
      <c r="L416" s="5"/>
      <c r="M416">
        <f ca="1">IFERROR(__xludf.DUMMYFUNCTION("""COMPUTED_VALUE"""),0)</f>
        <v>0</v>
      </c>
      <c r="N416" s="8"/>
    </row>
    <row r="417" spans="1:14" ht="12.45" hidden="1">
      <c r="A417" t="str">
        <f ca="1">IFERROR(__xludf.DUMMYFUNCTION("""COMPUTED_VALUE"""),"III-1-157")</f>
        <v>III-1-157</v>
      </c>
      <c r="B417" t="str">
        <f ca="1">IFERROR(__xludf.DUMMYFUNCTION("""COMPUTED_VALUE"""),"Денисова")</f>
        <v>Денисова</v>
      </c>
      <c r="C417" t="str">
        <f ca="1">IFERROR(__xludf.DUMMYFUNCTION("""COMPUTED_VALUE"""),"Екатерина")</f>
        <v>Екатерина</v>
      </c>
      <c r="D417" t="str">
        <f ca="1">IFERROR(__xludf.DUMMYFUNCTION("""COMPUTED_VALUE"""),"Школа ЧОУ Лимпик начальная школа")</f>
        <v>Школа ЧОУ Лимпик начальная школа</v>
      </c>
      <c r="E417" s="5"/>
      <c r="F417" s="5"/>
      <c r="G417" s="5"/>
      <c r="H417" s="5"/>
      <c r="I417" s="5"/>
      <c r="J417" s="5"/>
      <c r="K417" s="5"/>
      <c r="L417" s="5"/>
      <c r="M417">
        <f ca="1">IFERROR(__xludf.DUMMYFUNCTION("""COMPUTED_VALUE"""),0)</f>
        <v>0</v>
      </c>
      <c r="N417" s="8"/>
    </row>
    <row r="418" spans="1:14" ht="12.45" hidden="1">
      <c r="A418" t="str">
        <f ca="1">IFERROR(__xludf.DUMMYFUNCTION("""COMPUTED_VALUE"""),"III-1-270")</f>
        <v>III-1-270</v>
      </c>
      <c r="B418" t="str">
        <f ca="1">IFERROR(__xludf.DUMMYFUNCTION("""COMPUTED_VALUE"""),"Кудрявцева")</f>
        <v>Кудрявцева</v>
      </c>
      <c r="C418" t="str">
        <f ca="1">IFERROR(__xludf.DUMMYFUNCTION("""COMPUTED_VALUE"""),"Валерия")</f>
        <v>Валерия</v>
      </c>
      <c r="D418" t="str">
        <f ca="1">IFERROR(__xludf.DUMMYFUNCTION("""COMPUTED_VALUE"""),"Школа ЧОУ НОО «Умный мир»")</f>
        <v>Школа ЧОУ НОО «Умный мир»</v>
      </c>
      <c r="E418" s="5"/>
      <c r="F418" s="5"/>
      <c r="G418" s="5"/>
      <c r="H418" s="5"/>
      <c r="I418" s="5"/>
      <c r="J418" s="5"/>
      <c r="K418" s="5"/>
      <c r="L418" s="5"/>
      <c r="M418">
        <f ca="1">IFERROR(__xludf.DUMMYFUNCTION("""COMPUTED_VALUE"""),0)</f>
        <v>0</v>
      </c>
      <c r="N418" s="8"/>
    </row>
    <row r="419" spans="1:14" ht="12.45" hidden="1">
      <c r="A419" t="str">
        <f ca="1">IFERROR(__xludf.DUMMYFUNCTION("""COMPUTED_VALUE"""),"V-1-375")</f>
        <v>V-1-375</v>
      </c>
      <c r="B419" t="str">
        <f ca="1">IFERROR(__xludf.DUMMYFUNCTION("""COMPUTED_VALUE"""),"Онуфриенко")</f>
        <v>Онуфриенко</v>
      </c>
      <c r="C419" t="str">
        <f ca="1">IFERROR(__xludf.DUMMYFUNCTION("""COMPUTED_VALUE"""),"Алиса")</f>
        <v>Алиса</v>
      </c>
      <c r="D419" t="str">
        <f ca="1">IFERROR(__xludf.DUMMYFUNCTION("""COMPUTED_VALUE"""),"Гимназия Лимпик")</f>
        <v>Гимназия Лимпик</v>
      </c>
      <c r="E419" s="5"/>
      <c r="F419" s="5"/>
      <c r="G419" s="5"/>
      <c r="H419" s="5"/>
      <c r="I419" s="5"/>
      <c r="J419" s="5"/>
      <c r="K419" s="5"/>
      <c r="L419" s="5"/>
      <c r="M419">
        <f ca="1">IFERROR(__xludf.DUMMYFUNCTION("""COMPUTED_VALUE"""),0)</f>
        <v>0</v>
      </c>
      <c r="N419" s="8"/>
    </row>
    <row r="420" spans="1:14" ht="12.45" hidden="1">
      <c r="A420" t="str">
        <f ca="1">IFERROR(__xludf.DUMMYFUNCTION("""COMPUTED_VALUE"""),"III-1-051")</f>
        <v>III-1-051</v>
      </c>
      <c r="B420" t="str">
        <f ca="1">IFERROR(__xludf.DUMMYFUNCTION("""COMPUTED_VALUE"""),"Бахтин")</f>
        <v>Бахтин</v>
      </c>
      <c r="C420" t="str">
        <f ca="1">IFERROR(__xludf.DUMMYFUNCTION("""COMPUTED_VALUE"""),"Михаил")</f>
        <v>Михаил</v>
      </c>
      <c r="D420" t="str">
        <f ca="1">IFERROR(__xludf.DUMMYFUNCTION("""COMPUTED_VALUE"""),"Гимназия 677")</f>
        <v>Гимназия 677</v>
      </c>
      <c r="E420" s="5"/>
      <c r="F420" s="5"/>
      <c r="G420" s="5"/>
      <c r="H420" s="5"/>
      <c r="I420" s="5"/>
      <c r="J420" s="5"/>
      <c r="K420" s="5"/>
      <c r="L420" s="5"/>
      <c r="M420">
        <f ca="1">IFERROR(__xludf.DUMMYFUNCTION("""COMPUTED_VALUE"""),0)</f>
        <v>0</v>
      </c>
      <c r="N420" s="8"/>
    </row>
    <row r="421" spans="1:14" ht="12.45" hidden="1">
      <c r="A421" t="str">
        <f ca="1">IFERROR(__xludf.DUMMYFUNCTION("""COMPUTED_VALUE"""),"III-1-272")</f>
        <v>III-1-272</v>
      </c>
      <c r="B421" t="str">
        <f ca="1">IFERROR(__xludf.DUMMYFUNCTION("""COMPUTED_VALUE"""),"Кудряшова")</f>
        <v>Кудряшова</v>
      </c>
      <c r="C421" t="str">
        <f ca="1">IFERROR(__xludf.DUMMYFUNCTION("""COMPUTED_VALUE"""),"Надежда")</f>
        <v>Надежда</v>
      </c>
      <c r="D421" t="str">
        <f ca="1">IFERROR(__xludf.DUMMYFUNCTION("""COMPUTED_VALUE"""),"Гимназия 677")</f>
        <v>Гимназия 677</v>
      </c>
      <c r="E421" s="5"/>
      <c r="F421" s="5"/>
      <c r="G421" s="5"/>
      <c r="H421" s="5"/>
      <c r="I421" s="5"/>
      <c r="J421" s="5"/>
      <c r="K421" s="5"/>
      <c r="L421" s="5"/>
      <c r="M421">
        <f ca="1">IFERROR(__xludf.DUMMYFUNCTION("""COMPUTED_VALUE"""),0)</f>
        <v>0</v>
      </c>
      <c r="N421" s="8"/>
    </row>
    <row r="422" spans="1:14" ht="12.45" hidden="1">
      <c r="A422" t="str">
        <f ca="1">IFERROR(__xludf.DUMMYFUNCTION("""COMPUTED_VALUE"""),"III-1-244")</f>
        <v>III-1-244</v>
      </c>
      <c r="B422" t="str">
        <f ca="1">IFERROR(__xludf.DUMMYFUNCTION("""COMPUTED_VALUE"""),"Колопенько")</f>
        <v>Колопенько</v>
      </c>
      <c r="C422" t="str">
        <f ca="1">IFERROR(__xludf.DUMMYFUNCTION("""COMPUTED_VALUE"""),"Ростислав")</f>
        <v>Ростислав</v>
      </c>
      <c r="D422" t="str">
        <f ca="1">IFERROR(__xludf.DUMMYFUNCTION("""COMPUTED_VALUE"""),"Гимназия 406")</f>
        <v>Гимназия 406</v>
      </c>
      <c r="E422" s="5"/>
      <c r="F422" s="5"/>
      <c r="G422" s="5"/>
      <c r="H422" s="5"/>
      <c r="I422" s="5"/>
      <c r="J422" s="5"/>
      <c r="K422" s="5"/>
      <c r="L422" s="5"/>
      <c r="M422">
        <f ca="1">IFERROR(__xludf.DUMMYFUNCTION("""COMPUTED_VALUE"""),0)</f>
        <v>0</v>
      </c>
      <c r="N422" s="8"/>
    </row>
    <row r="423" spans="1:14" ht="12.45" hidden="1">
      <c r="A423" t="str">
        <f ca="1">IFERROR(__xludf.DUMMYFUNCTION("""COMPUTED_VALUE"""),"III-1-050")</f>
        <v>III-1-050</v>
      </c>
      <c r="B423" t="str">
        <f ca="1">IFERROR(__xludf.DUMMYFUNCTION("""COMPUTED_VALUE"""),"Бахова")</f>
        <v>Бахова</v>
      </c>
      <c r="C423" t="str">
        <f ca="1">IFERROR(__xludf.DUMMYFUNCTION("""COMPUTED_VALUE"""),"Александра")</f>
        <v>Александра</v>
      </c>
      <c r="D423" t="str">
        <f ca="1">IFERROR(__xludf.DUMMYFUNCTION("""COMPUTED_VALUE"""),"Школа 257")</f>
        <v>Школа 257</v>
      </c>
      <c r="E423" s="5"/>
      <c r="F423" s="5"/>
      <c r="G423" s="5"/>
      <c r="H423" s="5"/>
      <c r="I423" s="5"/>
      <c r="J423" s="5"/>
      <c r="K423" s="5"/>
      <c r="L423" s="5"/>
      <c r="M423">
        <f ca="1">IFERROR(__xludf.DUMMYFUNCTION("""COMPUTED_VALUE"""),0)</f>
        <v>0</v>
      </c>
      <c r="N423" s="8"/>
    </row>
    <row r="424" spans="1:14" ht="12.45" hidden="1">
      <c r="A424" t="str">
        <f ca="1">IFERROR(__xludf.DUMMYFUNCTION("""COMPUTED_VALUE"""),"V-1-324")</f>
        <v>V-1-324</v>
      </c>
      <c r="B424" t="str">
        <f ca="1">IFERROR(__xludf.DUMMYFUNCTION("""COMPUTED_VALUE"""),"Микулюк")</f>
        <v>Микулюк</v>
      </c>
      <c r="C424" t="str">
        <f ca="1">IFERROR(__xludf.DUMMYFUNCTION("""COMPUTED_VALUE"""),"Тимофей")</f>
        <v>Тимофей</v>
      </c>
      <c r="D424" t="str">
        <f ca="1">IFERROR(__xludf.DUMMYFUNCTION("""COMPUTED_VALUE"""),"Школа 257")</f>
        <v>Школа 257</v>
      </c>
      <c r="E424" s="5"/>
      <c r="F424" s="5"/>
      <c r="G424" s="5"/>
      <c r="H424" s="5"/>
      <c r="I424" s="5"/>
      <c r="J424" s="5"/>
      <c r="K424" s="5"/>
      <c r="L424" s="5"/>
      <c r="M424">
        <f ca="1">IFERROR(__xludf.DUMMYFUNCTION("""COMPUTED_VALUE"""),0)</f>
        <v>0</v>
      </c>
      <c r="N424" s="8"/>
    </row>
    <row r="425" spans="1:14" ht="12.45" hidden="1">
      <c r="A425" t="str">
        <f ca="1">IFERROR(__xludf.DUMMYFUNCTION("""COMPUTED_VALUE"""),"V-1-443")</f>
        <v>V-1-443</v>
      </c>
      <c r="B425" t="str">
        <f ca="1">IFERROR(__xludf.DUMMYFUNCTION("""COMPUTED_VALUE"""),"Романик")</f>
        <v>Романик</v>
      </c>
      <c r="C425" t="str">
        <f ca="1">IFERROR(__xludf.DUMMYFUNCTION("""COMPUTED_VALUE"""),"Михаил")</f>
        <v>Михаил</v>
      </c>
      <c r="D425" t="str">
        <f ca="1">IFERROR(__xludf.DUMMYFUNCTION("""COMPUTED_VALUE"""),"Школа 257")</f>
        <v>Школа 257</v>
      </c>
      <c r="E425" s="5"/>
      <c r="F425" s="5"/>
      <c r="G425" s="5"/>
      <c r="H425" s="5"/>
      <c r="I425" s="5"/>
      <c r="J425" s="5"/>
      <c r="K425" s="5"/>
      <c r="L425" s="5"/>
      <c r="M425">
        <f ca="1">IFERROR(__xludf.DUMMYFUNCTION("""COMPUTED_VALUE"""),0)</f>
        <v>0</v>
      </c>
      <c r="N425" s="8"/>
    </row>
    <row r="426" spans="1:14" ht="12.45" hidden="1">
      <c r="A426" t="str">
        <f ca="1">IFERROR(__xludf.DUMMYFUNCTION("""COMPUTED_VALUE"""),"V-1-475")</f>
        <v>V-1-475</v>
      </c>
      <c r="B426" t="str">
        <f ca="1">IFERROR(__xludf.DUMMYFUNCTION("""COMPUTED_VALUE"""),"Слободской")</f>
        <v>Слободской</v>
      </c>
      <c r="C426" t="str">
        <f ca="1">IFERROR(__xludf.DUMMYFUNCTION("""COMPUTED_VALUE"""),"Максим")</f>
        <v>Максим</v>
      </c>
      <c r="D426" t="str">
        <f ca="1">IFERROR(__xludf.DUMMYFUNCTION("""COMPUTED_VALUE"""),"Школа 257")</f>
        <v>Школа 257</v>
      </c>
      <c r="E426" s="5"/>
      <c r="F426" s="5"/>
      <c r="G426" s="5"/>
      <c r="H426" s="5"/>
      <c r="I426" s="5"/>
      <c r="J426" s="5"/>
      <c r="K426" s="5"/>
      <c r="L426" s="5"/>
      <c r="M426">
        <f ca="1">IFERROR(__xludf.DUMMYFUNCTION("""COMPUTED_VALUE"""),0)</f>
        <v>0</v>
      </c>
      <c r="N426" s="8"/>
    </row>
    <row r="427" spans="1:14" ht="12.45" hidden="1">
      <c r="A427" t="str">
        <f ca="1">IFERROR(__xludf.DUMMYFUNCTION("""COMPUTED_VALUE"""),"V-1-540")</f>
        <v>V-1-540</v>
      </c>
      <c r="B427" t="str">
        <f ca="1">IFERROR(__xludf.DUMMYFUNCTION("""COMPUTED_VALUE"""),"Федина")</f>
        <v>Федина</v>
      </c>
      <c r="C427" t="str">
        <f ca="1">IFERROR(__xludf.DUMMYFUNCTION("""COMPUTED_VALUE"""),"Диана")</f>
        <v>Диана</v>
      </c>
      <c r="D427" t="str">
        <f ca="1">IFERROR(__xludf.DUMMYFUNCTION("""COMPUTED_VALUE"""),"Школа 257")</f>
        <v>Школа 257</v>
      </c>
      <c r="E427" s="5"/>
      <c r="F427" s="5"/>
      <c r="G427" s="5"/>
      <c r="H427" s="5"/>
      <c r="I427" s="5"/>
      <c r="J427" s="5"/>
      <c r="K427" s="5"/>
      <c r="L427" s="5"/>
      <c r="M427">
        <f ca="1">IFERROR(__xludf.DUMMYFUNCTION("""COMPUTED_VALUE"""),0)</f>
        <v>0</v>
      </c>
      <c r="N427" s="8"/>
    </row>
    <row r="428" spans="1:14" ht="12.45" hidden="1">
      <c r="A428" t="str">
        <f ca="1">IFERROR(__xludf.DUMMYFUNCTION("""COMPUTED_VALUE"""),"V-1-573")</f>
        <v>V-1-573</v>
      </c>
      <c r="B428" t="str">
        <f ca="1">IFERROR(__xludf.DUMMYFUNCTION("""COMPUTED_VALUE"""),"Чеботарь")</f>
        <v>Чеботарь</v>
      </c>
      <c r="C428" t="str">
        <f ca="1">IFERROR(__xludf.DUMMYFUNCTION("""COMPUTED_VALUE"""),"Андрей")</f>
        <v>Андрей</v>
      </c>
      <c r="D428" t="str">
        <f ca="1">IFERROR(__xludf.DUMMYFUNCTION("""COMPUTED_VALUE"""),"Школа 257")</f>
        <v>Школа 257</v>
      </c>
      <c r="E428" s="5"/>
      <c r="F428" s="5"/>
      <c r="G428" s="5"/>
      <c r="H428" s="5"/>
      <c r="I428" s="5"/>
      <c r="J428" s="5"/>
      <c r="K428" s="5"/>
      <c r="L428" s="5"/>
      <c r="M428">
        <f ca="1">IFERROR(__xludf.DUMMYFUNCTION("""COMPUTED_VALUE"""),0)</f>
        <v>0</v>
      </c>
      <c r="N428" s="8"/>
    </row>
    <row r="429" spans="1:14" ht="12.45" hidden="1">
      <c r="A429" t="str">
        <f ca="1">IFERROR(__xludf.DUMMYFUNCTION("""COMPUTED_VALUE"""),"III-1-092")</f>
        <v>III-1-092</v>
      </c>
      <c r="B429" t="str">
        <f ca="1">IFERROR(__xludf.DUMMYFUNCTION("""COMPUTED_VALUE"""),"Васильева")</f>
        <v>Васильева</v>
      </c>
      <c r="C429" t="str">
        <f ca="1">IFERROR(__xludf.DUMMYFUNCTION("""COMPUTED_VALUE"""),"Алиса")</f>
        <v>Алиса</v>
      </c>
      <c r="D429" t="str">
        <f ca="1">IFERROR(__xludf.DUMMYFUNCTION("""COMPUTED_VALUE"""),"Школа 328")</f>
        <v>Школа 328</v>
      </c>
      <c r="E429" s="5"/>
      <c r="F429" s="5"/>
      <c r="G429" s="5"/>
      <c r="H429" s="5"/>
      <c r="I429" s="5"/>
      <c r="J429" s="5"/>
      <c r="K429" s="5"/>
      <c r="L429" s="5"/>
      <c r="M429">
        <f ca="1">IFERROR(__xludf.DUMMYFUNCTION("""COMPUTED_VALUE"""),0)</f>
        <v>0</v>
      </c>
      <c r="N429" s="8"/>
    </row>
    <row r="430" spans="1:14" ht="12.45" hidden="1">
      <c r="A430" t="str">
        <f ca="1">IFERROR(__xludf.DUMMYFUNCTION("""COMPUTED_VALUE"""),"III-1-096")</f>
        <v>III-1-096</v>
      </c>
      <c r="B430" t="str">
        <f ca="1">IFERROR(__xludf.DUMMYFUNCTION("""COMPUTED_VALUE"""),"Васин")</f>
        <v>Васин</v>
      </c>
      <c r="C430" t="str">
        <f ca="1">IFERROR(__xludf.DUMMYFUNCTION("""COMPUTED_VALUE"""),"Дмитрий")</f>
        <v>Дмитрий</v>
      </c>
      <c r="D430" t="str">
        <f ca="1">IFERROR(__xludf.DUMMYFUNCTION("""COMPUTED_VALUE"""),"Школа 328")</f>
        <v>Школа 328</v>
      </c>
      <c r="E430" s="5"/>
      <c r="F430" s="5"/>
      <c r="G430" s="5"/>
      <c r="H430" s="5"/>
      <c r="I430" s="5"/>
      <c r="J430" s="5"/>
      <c r="K430" s="5"/>
      <c r="L430" s="5"/>
      <c r="M430">
        <f ca="1">IFERROR(__xludf.DUMMYFUNCTION("""COMPUTED_VALUE"""),0)</f>
        <v>0</v>
      </c>
      <c r="N430" s="8"/>
    </row>
    <row r="431" spans="1:14" ht="12.45" hidden="1">
      <c r="A431" t="str">
        <f ca="1">IFERROR(__xludf.DUMMYFUNCTION("""COMPUTED_VALUE"""),"V-1-450")</f>
        <v>V-1-450</v>
      </c>
      <c r="B431" t="str">
        <f ca="1">IFERROR(__xludf.DUMMYFUNCTION("""COMPUTED_VALUE"""),"Рыбникова")</f>
        <v>Рыбникова</v>
      </c>
      <c r="C431" t="str">
        <f ca="1">IFERROR(__xludf.DUMMYFUNCTION("""COMPUTED_VALUE"""),"Алиса")</f>
        <v>Алиса</v>
      </c>
      <c r="D431" t="str">
        <f ca="1">IFERROR(__xludf.DUMMYFUNCTION("""COMPUTED_VALUE"""),"Школа 328")</f>
        <v>Школа 328</v>
      </c>
      <c r="E431" s="5"/>
      <c r="F431" s="5"/>
      <c r="G431" s="5"/>
      <c r="H431" s="5"/>
      <c r="I431" s="5"/>
      <c r="J431" s="5"/>
      <c r="K431" s="5"/>
      <c r="L431" s="5"/>
      <c r="M431">
        <f ca="1">IFERROR(__xludf.DUMMYFUNCTION("""COMPUTED_VALUE"""),0)</f>
        <v>0</v>
      </c>
      <c r="N431" s="8"/>
    </row>
    <row r="432" spans="1:14" ht="12.45" hidden="1">
      <c r="A432" t="str">
        <f ca="1">IFERROR(__xludf.DUMMYFUNCTION("""COMPUTED_VALUE"""),"V-1-581")</f>
        <v>V-1-581</v>
      </c>
      <c r="B432" t="str">
        <f ca="1">IFERROR(__xludf.DUMMYFUNCTION("""COMPUTED_VALUE"""),"Чобанова")</f>
        <v>Чобанова</v>
      </c>
      <c r="C432" t="str">
        <f ca="1">IFERROR(__xludf.DUMMYFUNCTION("""COMPUTED_VALUE"""),"Камилла")</f>
        <v>Камилла</v>
      </c>
      <c r="D432" t="str">
        <f ca="1">IFERROR(__xludf.DUMMYFUNCTION("""COMPUTED_VALUE"""),"Школа 328")</f>
        <v>Школа 328</v>
      </c>
      <c r="E432" s="5"/>
      <c r="F432" s="5"/>
      <c r="G432" s="5"/>
      <c r="H432" s="5"/>
      <c r="I432" s="5"/>
      <c r="J432" s="5"/>
      <c r="K432" s="5"/>
      <c r="L432" s="5"/>
      <c r="M432">
        <f ca="1">IFERROR(__xludf.DUMMYFUNCTION("""COMPUTED_VALUE"""),0)</f>
        <v>0</v>
      </c>
      <c r="N432" s="8"/>
    </row>
    <row r="433" spans="1:14" ht="12.45" hidden="1">
      <c r="A433" t="str">
        <f ca="1">IFERROR(__xludf.DUMMYFUNCTION("""COMPUTED_VALUE"""),"III-1-048")</f>
        <v>III-1-048</v>
      </c>
      <c r="B433" t="str">
        <f ca="1">IFERROR(__xludf.DUMMYFUNCTION("""COMPUTED_VALUE"""),"Бартенева")</f>
        <v>Бартенева</v>
      </c>
      <c r="C433" t="str">
        <f ca="1">IFERROR(__xludf.DUMMYFUNCTION("""COMPUTED_VALUE"""),"Маргарита")</f>
        <v>Маргарита</v>
      </c>
      <c r="D433" t="str">
        <f ca="1">IFERROR(__xludf.DUMMYFUNCTION("""COMPUTED_VALUE"""),"Школа 407")</f>
        <v>Школа 407</v>
      </c>
      <c r="E433" s="5"/>
      <c r="F433" s="5"/>
      <c r="G433" s="5"/>
      <c r="H433" s="5"/>
      <c r="I433" s="5"/>
      <c r="J433" s="5"/>
      <c r="K433" s="5"/>
      <c r="L433" s="5"/>
      <c r="M433">
        <f ca="1">IFERROR(__xludf.DUMMYFUNCTION("""COMPUTED_VALUE"""),0)</f>
        <v>0</v>
      </c>
      <c r="N433" s="8"/>
    </row>
    <row r="434" spans="1:14" ht="12.45" hidden="1">
      <c r="A434" t="str">
        <f ca="1">IFERROR(__xludf.DUMMYFUNCTION("""COMPUTED_VALUE"""),"III-1-119")</f>
        <v>III-1-119</v>
      </c>
      <c r="B434" t="str">
        <f ca="1">IFERROR(__xludf.DUMMYFUNCTION("""COMPUTED_VALUE"""),"Галова")</f>
        <v>Галова</v>
      </c>
      <c r="C434" t="str">
        <f ca="1">IFERROR(__xludf.DUMMYFUNCTION("""COMPUTED_VALUE"""),"Юлия")</f>
        <v>Юлия</v>
      </c>
      <c r="D434" t="str">
        <f ca="1">IFERROR(__xludf.DUMMYFUNCTION("""COMPUTED_VALUE"""),"Школа 407")</f>
        <v>Школа 407</v>
      </c>
      <c r="E434" s="5"/>
      <c r="F434" s="5"/>
      <c r="G434" s="5"/>
      <c r="H434" s="5"/>
      <c r="I434" s="5"/>
      <c r="J434" s="5"/>
      <c r="K434" s="5"/>
      <c r="L434" s="5"/>
      <c r="M434">
        <f ca="1">IFERROR(__xludf.DUMMYFUNCTION("""COMPUTED_VALUE"""),0)</f>
        <v>0</v>
      </c>
      <c r="N434" s="8"/>
    </row>
    <row r="435" spans="1:14" ht="12.45" hidden="1">
      <c r="A435" t="str">
        <f ca="1">IFERROR(__xludf.DUMMYFUNCTION("""COMPUTED_VALUE"""),"III-1-173")</f>
        <v>III-1-173</v>
      </c>
      <c r="B435" t="str">
        <f ca="1">IFERROR(__xludf.DUMMYFUNCTION("""COMPUTED_VALUE"""),"Ежуков")</f>
        <v>Ежуков</v>
      </c>
      <c r="C435" t="str">
        <f ca="1">IFERROR(__xludf.DUMMYFUNCTION("""COMPUTED_VALUE"""),"Егор")</f>
        <v>Егор</v>
      </c>
      <c r="D435" t="str">
        <f ca="1">IFERROR(__xludf.DUMMYFUNCTION("""COMPUTED_VALUE"""),"Школа 407")</f>
        <v>Школа 407</v>
      </c>
      <c r="E435" s="5"/>
      <c r="F435" s="5"/>
      <c r="G435" s="5"/>
      <c r="H435" s="5"/>
      <c r="I435" s="5"/>
      <c r="J435" s="5"/>
      <c r="K435" s="5"/>
      <c r="L435" s="5"/>
      <c r="M435">
        <f ca="1">IFERROR(__xludf.DUMMYFUNCTION("""COMPUTED_VALUE"""),0)</f>
        <v>0</v>
      </c>
      <c r="N435" s="8"/>
    </row>
    <row r="436" spans="1:14" ht="12.45" hidden="1">
      <c r="A436" t="str">
        <f ca="1">IFERROR(__xludf.DUMMYFUNCTION("""COMPUTED_VALUE"""),"III-1-197")</f>
        <v>III-1-197</v>
      </c>
      <c r="B436" t="str">
        <f ca="1">IFERROR(__xludf.DUMMYFUNCTION("""COMPUTED_VALUE"""),"Зюкин")</f>
        <v>Зюкин</v>
      </c>
      <c r="C436" t="str">
        <f ca="1">IFERROR(__xludf.DUMMYFUNCTION("""COMPUTED_VALUE"""),"Иван")</f>
        <v>Иван</v>
      </c>
      <c r="D436" t="str">
        <f ca="1">IFERROR(__xludf.DUMMYFUNCTION("""COMPUTED_VALUE"""),"Школа 407")</f>
        <v>Школа 407</v>
      </c>
      <c r="E436" s="5"/>
      <c r="F436" s="5"/>
      <c r="G436" s="5"/>
      <c r="H436" s="5"/>
      <c r="I436" s="5"/>
      <c r="J436" s="5"/>
      <c r="K436" s="5"/>
      <c r="L436" s="5"/>
      <c r="M436">
        <f ca="1">IFERROR(__xludf.DUMMYFUNCTION("""COMPUTED_VALUE"""),0)</f>
        <v>0</v>
      </c>
      <c r="N436" s="8"/>
    </row>
    <row r="437" spans="1:14" ht="12.45" hidden="1">
      <c r="A437" t="str">
        <f ca="1">IFERROR(__xludf.DUMMYFUNCTION("""COMPUTED_VALUE"""),"III-1-288")</f>
        <v>III-1-288</v>
      </c>
      <c r="B437" t="str">
        <f ca="1">IFERROR(__xludf.DUMMYFUNCTION("""COMPUTED_VALUE"""),"Левченко")</f>
        <v>Левченко</v>
      </c>
      <c r="C437" t="str">
        <f ca="1">IFERROR(__xludf.DUMMYFUNCTION("""COMPUTED_VALUE"""),"Владимир")</f>
        <v>Владимир</v>
      </c>
      <c r="D437" t="str">
        <f ca="1">IFERROR(__xludf.DUMMYFUNCTION("""COMPUTED_VALUE"""),"Школа 407")</f>
        <v>Школа 407</v>
      </c>
      <c r="E437" s="5"/>
      <c r="F437" s="5"/>
      <c r="G437" s="5"/>
      <c r="H437" s="5"/>
      <c r="I437" s="5"/>
      <c r="J437" s="5"/>
      <c r="K437" s="5"/>
      <c r="L437" s="5"/>
      <c r="M437">
        <f ca="1">IFERROR(__xludf.DUMMYFUNCTION("""COMPUTED_VALUE"""),0)</f>
        <v>0</v>
      </c>
      <c r="N437" s="8"/>
    </row>
    <row r="438" spans="1:14" ht="12.45" hidden="1">
      <c r="A438" t="str">
        <f ca="1">IFERROR(__xludf.DUMMYFUNCTION("""COMPUTED_VALUE"""),"V-1-344")</f>
        <v>V-1-344</v>
      </c>
      <c r="B438" t="str">
        <f ca="1">IFERROR(__xludf.DUMMYFUNCTION("""COMPUTED_VALUE"""),"Мухачева")</f>
        <v>Мухачева</v>
      </c>
      <c r="C438" t="str">
        <f ca="1">IFERROR(__xludf.DUMMYFUNCTION("""COMPUTED_VALUE"""),"Милана")</f>
        <v>Милана</v>
      </c>
      <c r="D438" t="str">
        <f ca="1">IFERROR(__xludf.DUMMYFUNCTION("""COMPUTED_VALUE"""),"Школа 407")</f>
        <v>Школа 407</v>
      </c>
      <c r="E438" s="5"/>
      <c r="F438" s="5"/>
      <c r="G438" s="5"/>
      <c r="H438" s="5"/>
      <c r="I438" s="5"/>
      <c r="J438" s="5"/>
      <c r="K438" s="5"/>
      <c r="L438" s="5"/>
      <c r="M438">
        <f ca="1">IFERROR(__xludf.DUMMYFUNCTION("""COMPUTED_VALUE"""),0)</f>
        <v>0</v>
      </c>
      <c r="N438" s="8"/>
    </row>
    <row r="439" spans="1:14" ht="12.45" hidden="1">
      <c r="A439" t="str">
        <f ca="1">IFERROR(__xludf.DUMMYFUNCTION("""COMPUTED_VALUE"""),"V-1-466")</f>
        <v>V-1-466</v>
      </c>
      <c r="B439" t="str">
        <f ca="1">IFERROR(__xludf.DUMMYFUNCTION("""COMPUTED_VALUE"""),"Сергеев")</f>
        <v>Сергеев</v>
      </c>
      <c r="C439" t="str">
        <f ca="1">IFERROR(__xludf.DUMMYFUNCTION("""COMPUTED_VALUE"""),"Данила")</f>
        <v>Данила</v>
      </c>
      <c r="D439" t="str">
        <f ca="1">IFERROR(__xludf.DUMMYFUNCTION("""COMPUTED_VALUE"""),"Школа 407")</f>
        <v>Школа 407</v>
      </c>
      <c r="E439" s="5"/>
      <c r="F439" s="5"/>
      <c r="G439" s="5"/>
      <c r="H439" s="5"/>
      <c r="I439" s="5"/>
      <c r="J439" s="5"/>
      <c r="K439" s="5"/>
      <c r="L439" s="5"/>
      <c r="M439">
        <f ca="1">IFERROR(__xludf.DUMMYFUNCTION("""COMPUTED_VALUE"""),0)</f>
        <v>0</v>
      </c>
      <c r="N439" s="8"/>
    </row>
    <row r="440" spans="1:14" ht="12.45" hidden="1">
      <c r="A440" t="str">
        <f ca="1">IFERROR(__xludf.DUMMYFUNCTION("""COMPUTED_VALUE"""),"V-1-545")</f>
        <v>V-1-545</v>
      </c>
      <c r="B440" t="str">
        <f ca="1">IFERROR(__xludf.DUMMYFUNCTION("""COMPUTED_VALUE"""),"Филатова")</f>
        <v>Филатова</v>
      </c>
      <c r="C440" t="str">
        <f ca="1">IFERROR(__xludf.DUMMYFUNCTION("""COMPUTED_VALUE"""),"Кира")</f>
        <v>Кира</v>
      </c>
      <c r="D440" t="str">
        <f ca="1">IFERROR(__xludf.DUMMYFUNCTION("""COMPUTED_VALUE"""),"Школа 407")</f>
        <v>Школа 407</v>
      </c>
      <c r="E440" s="5"/>
      <c r="F440" s="5"/>
      <c r="G440" s="5"/>
      <c r="H440" s="5"/>
      <c r="I440" s="5"/>
      <c r="J440" s="5"/>
      <c r="K440" s="5"/>
      <c r="L440" s="5"/>
      <c r="M440">
        <f ca="1">IFERROR(__xludf.DUMMYFUNCTION("""COMPUTED_VALUE"""),0)</f>
        <v>0</v>
      </c>
      <c r="N440" s="8"/>
    </row>
    <row r="441" spans="1:14" ht="12.45" hidden="1">
      <c r="A441" t="str">
        <f ca="1">IFERROR(__xludf.DUMMYFUNCTION("""COMPUTED_VALUE"""),"III-1-095")</f>
        <v>III-1-095</v>
      </c>
      <c r="B441" t="str">
        <f ca="1">IFERROR(__xludf.DUMMYFUNCTION("""COMPUTED_VALUE"""),"Васильева")</f>
        <v>Васильева</v>
      </c>
      <c r="C441" t="str">
        <f ca="1">IFERROR(__xludf.DUMMYFUNCTION("""COMPUTED_VALUE"""),"Екатерина")</f>
        <v>Екатерина</v>
      </c>
      <c r="D441" t="str">
        <f ca="1">IFERROR(__xludf.DUMMYFUNCTION("""COMPUTED_VALUE"""),"Школа 400")</f>
        <v>Школа 400</v>
      </c>
      <c r="E441" s="5"/>
      <c r="F441" s="5"/>
      <c r="G441" s="5"/>
      <c r="H441" s="5"/>
      <c r="I441" s="5"/>
      <c r="J441" s="5"/>
      <c r="K441" s="5"/>
      <c r="L441" s="5"/>
      <c r="M441">
        <f ca="1">IFERROR(__xludf.DUMMYFUNCTION("""COMPUTED_VALUE"""),0)</f>
        <v>0</v>
      </c>
      <c r="N441" s="8"/>
    </row>
    <row r="442" spans="1:14" ht="12.45" hidden="1">
      <c r="A442" t="str">
        <f ca="1">IFERROR(__xludf.DUMMYFUNCTION("""COMPUTED_VALUE"""),"III-1-166")</f>
        <v>III-1-166</v>
      </c>
      <c r="B442" t="str">
        <f ca="1">IFERROR(__xludf.DUMMYFUNCTION("""COMPUTED_VALUE"""),"Дорошин")</f>
        <v>Дорошин</v>
      </c>
      <c r="C442" t="str">
        <f ca="1">IFERROR(__xludf.DUMMYFUNCTION("""COMPUTED_VALUE"""),"Максим")</f>
        <v>Максим</v>
      </c>
      <c r="D442" t="str">
        <f ca="1">IFERROR(__xludf.DUMMYFUNCTION("""COMPUTED_VALUE"""),"Школа 400")</f>
        <v>Школа 400</v>
      </c>
      <c r="E442" s="5"/>
      <c r="F442" s="5"/>
      <c r="G442" s="5"/>
      <c r="H442" s="5"/>
      <c r="I442" s="5"/>
      <c r="J442" s="5"/>
      <c r="K442" s="5"/>
      <c r="L442" s="5"/>
      <c r="M442">
        <f ca="1">IFERROR(__xludf.DUMMYFUNCTION("""COMPUTED_VALUE"""),0)</f>
        <v>0</v>
      </c>
      <c r="N442" s="8"/>
    </row>
    <row r="443" spans="1:14" ht="12.45" hidden="1">
      <c r="A443" t="str">
        <f ca="1">IFERROR(__xludf.DUMMYFUNCTION("""COMPUTED_VALUE"""),"V-1-370")</f>
        <v>V-1-370</v>
      </c>
      <c r="B443" t="str">
        <f ca="1">IFERROR(__xludf.DUMMYFUNCTION("""COMPUTED_VALUE"""),"Обухова")</f>
        <v>Обухова</v>
      </c>
      <c r="C443" t="str">
        <f ca="1">IFERROR(__xludf.DUMMYFUNCTION("""COMPUTED_VALUE"""),"Марина")</f>
        <v>Марина</v>
      </c>
      <c r="D443" t="str">
        <f ca="1">IFERROR(__xludf.DUMMYFUNCTION("""COMPUTED_VALUE"""),"Школа 400")</f>
        <v>Школа 400</v>
      </c>
      <c r="E443" s="5"/>
      <c r="F443" s="5"/>
      <c r="G443" s="5"/>
      <c r="H443" s="5"/>
      <c r="I443" s="5"/>
      <c r="J443" s="5"/>
      <c r="K443" s="5"/>
      <c r="L443" s="5"/>
      <c r="M443">
        <f ca="1">IFERROR(__xludf.DUMMYFUNCTION("""COMPUTED_VALUE"""),0)</f>
        <v>0</v>
      </c>
      <c r="N443" s="8"/>
    </row>
    <row r="444" spans="1:14" ht="12.45" hidden="1">
      <c r="A444" t="str">
        <f ca="1">IFERROR(__xludf.DUMMYFUNCTION("""COMPUTED_VALUE"""),"V-1-423")</f>
        <v>V-1-423</v>
      </c>
      <c r="B444" t="str">
        <f ca="1">IFERROR(__xludf.DUMMYFUNCTION("""COMPUTED_VALUE"""),"Пугачёва")</f>
        <v>Пугачёва</v>
      </c>
      <c r="C444" t="str">
        <f ca="1">IFERROR(__xludf.DUMMYFUNCTION("""COMPUTED_VALUE"""),"Серафима")</f>
        <v>Серафима</v>
      </c>
      <c r="D444" t="str">
        <f ca="1">IFERROR(__xludf.DUMMYFUNCTION("""COMPUTED_VALUE"""),"Школа 400")</f>
        <v>Школа 400</v>
      </c>
      <c r="E444" s="5"/>
      <c r="F444" s="5"/>
      <c r="G444" s="5"/>
      <c r="H444" s="5"/>
      <c r="I444" s="5"/>
      <c r="J444" s="5"/>
      <c r="K444" s="5"/>
      <c r="L444" s="5"/>
      <c r="M444">
        <f ca="1">IFERROR(__xludf.DUMMYFUNCTION("""COMPUTED_VALUE"""),0)</f>
        <v>0</v>
      </c>
      <c r="N444" s="8"/>
    </row>
    <row r="445" spans="1:14" ht="12.45" hidden="1">
      <c r="A445" t="str">
        <f ca="1">IFERROR(__xludf.DUMMYFUNCTION("""COMPUTED_VALUE"""),"V-1-517")</f>
        <v>V-1-517</v>
      </c>
      <c r="B445" t="str">
        <f ca="1">IFERROR(__xludf.DUMMYFUNCTION("""COMPUTED_VALUE"""),"Терехова")</f>
        <v>Терехова</v>
      </c>
      <c r="C445" t="str">
        <f ca="1">IFERROR(__xludf.DUMMYFUNCTION("""COMPUTED_VALUE"""),"Ксения")</f>
        <v>Ксения</v>
      </c>
      <c r="D445" t="str">
        <f ca="1">IFERROR(__xludf.DUMMYFUNCTION("""COMPUTED_VALUE"""),"Школа 400")</f>
        <v>Школа 400</v>
      </c>
      <c r="E445" s="5"/>
      <c r="F445" s="5"/>
      <c r="G445" s="5"/>
      <c r="H445" s="5"/>
      <c r="I445" s="5"/>
      <c r="J445" s="5"/>
      <c r="K445" s="5"/>
      <c r="L445" s="5"/>
      <c r="M445">
        <f ca="1">IFERROR(__xludf.DUMMYFUNCTION("""COMPUTED_VALUE"""),0)</f>
        <v>0</v>
      </c>
      <c r="N445" s="8"/>
    </row>
    <row r="446" spans="1:14" ht="12.45" hidden="1">
      <c r="A446" t="str">
        <f ca="1">IFERROR(__xludf.DUMMYFUNCTION("""COMPUTED_VALUE"""),"V-1-598")</f>
        <v>V-1-598</v>
      </c>
      <c r="B446" t="str">
        <f ca="1">IFERROR(__xludf.DUMMYFUNCTION("""COMPUTED_VALUE"""),"Шишкина")</f>
        <v>Шишкина</v>
      </c>
      <c r="C446" t="str">
        <f ca="1">IFERROR(__xludf.DUMMYFUNCTION("""COMPUTED_VALUE"""),"Анастасия")</f>
        <v>Анастасия</v>
      </c>
      <c r="D446" t="str">
        <f ca="1">IFERROR(__xludf.DUMMYFUNCTION("""COMPUTED_VALUE"""),"Школа 106")</f>
        <v>Школа 106</v>
      </c>
      <c r="E446" s="5"/>
      <c r="F446" s="5"/>
      <c r="G446" s="5"/>
      <c r="H446" s="5"/>
      <c r="I446" s="5"/>
      <c r="J446" s="5"/>
      <c r="K446" s="5"/>
      <c r="L446" s="5"/>
      <c r="M446">
        <f ca="1">IFERROR(__xludf.DUMMYFUNCTION("""COMPUTED_VALUE"""),0)</f>
        <v>0</v>
      </c>
      <c r="N446" s="8"/>
    </row>
    <row r="447" spans="1:14" ht="12.45" hidden="1">
      <c r="A447" t="str">
        <f ca="1">IFERROR(__xludf.DUMMYFUNCTION("""COMPUTED_VALUE"""),"V-1-327")</f>
        <v>V-1-327</v>
      </c>
      <c r="B447" t="str">
        <f ca="1">IFERROR(__xludf.DUMMYFUNCTION("""COMPUTED_VALUE"""),"Мисюн")</f>
        <v>Мисюн</v>
      </c>
      <c r="C447" t="str">
        <f ca="1">IFERROR(__xludf.DUMMYFUNCTION("""COMPUTED_VALUE"""),"Егор")</f>
        <v>Егор</v>
      </c>
      <c r="D447" t="str">
        <f ca="1">IFERROR(__xludf.DUMMYFUNCTION("""COMPUTED_VALUE"""),"Школа 46")</f>
        <v>Школа 46</v>
      </c>
      <c r="E447" s="5"/>
      <c r="F447" s="5"/>
      <c r="G447" s="5"/>
      <c r="H447" s="5"/>
      <c r="I447" s="5"/>
      <c r="J447" s="5"/>
      <c r="K447" s="5"/>
      <c r="L447" s="5"/>
      <c r="M447">
        <f ca="1">IFERROR(__xludf.DUMMYFUNCTION("""COMPUTED_VALUE"""),0)</f>
        <v>0</v>
      </c>
      <c r="N447" s="8"/>
    </row>
    <row r="448" spans="1:14" ht="12.45" hidden="1">
      <c r="A448" t="str">
        <f ca="1">IFERROR(__xludf.DUMMYFUNCTION("""COMPUTED_VALUE"""),"V-1-489")</f>
        <v>V-1-489</v>
      </c>
      <c r="B448" t="str">
        <f ca="1">IFERROR(__xludf.DUMMYFUNCTION("""COMPUTED_VALUE"""),"Спиридонова")</f>
        <v>Спиридонова</v>
      </c>
      <c r="C448" t="str">
        <f ca="1">IFERROR(__xludf.DUMMYFUNCTION("""COMPUTED_VALUE"""),"Александра")</f>
        <v>Александра</v>
      </c>
      <c r="D448" t="str">
        <f ca="1">IFERROR(__xludf.DUMMYFUNCTION("""COMPUTED_VALUE"""),"Школа 45")</f>
        <v>Школа 45</v>
      </c>
      <c r="E448" s="5"/>
      <c r="F448" s="5"/>
      <c r="G448" s="5"/>
      <c r="H448" s="5"/>
      <c r="I448" s="5"/>
      <c r="J448" s="5"/>
      <c r="K448" s="5"/>
      <c r="L448" s="5"/>
      <c r="M448">
        <f ca="1">IFERROR(__xludf.DUMMYFUNCTION("""COMPUTED_VALUE"""),0)</f>
        <v>0</v>
      </c>
      <c r="N448" s="8"/>
    </row>
    <row r="449" spans="1:14" ht="12.45" hidden="1">
      <c r="A449" t="str">
        <f ca="1">IFERROR(__xludf.DUMMYFUNCTION("""COMPUTED_VALUE"""),"V-1-580")</f>
        <v>V-1-580</v>
      </c>
      <c r="B449" t="str">
        <f ca="1">IFERROR(__xludf.DUMMYFUNCTION("""COMPUTED_VALUE"""),"Чижов")</f>
        <v>Чижов</v>
      </c>
      <c r="C449" t="str">
        <f ca="1">IFERROR(__xludf.DUMMYFUNCTION("""COMPUTED_VALUE"""),"Василий")</f>
        <v>Василий</v>
      </c>
      <c r="D449" t="str">
        <f ca="1">IFERROR(__xludf.DUMMYFUNCTION("""COMPUTED_VALUE"""),"Школа 437")</f>
        <v>Школа 437</v>
      </c>
      <c r="E449" s="5"/>
      <c r="F449" s="5"/>
      <c r="G449" s="5"/>
      <c r="H449" s="5"/>
      <c r="I449" s="5"/>
      <c r="J449" s="5"/>
      <c r="K449" s="5"/>
      <c r="L449" s="5"/>
      <c r="M449">
        <f ca="1">IFERROR(__xludf.DUMMYFUNCTION("""COMPUTED_VALUE"""),0)</f>
        <v>0</v>
      </c>
      <c r="N449" s="8"/>
    </row>
    <row r="450" spans="1:14" ht="12.45" hidden="1">
      <c r="A450" t="str">
        <f ca="1">IFERROR(__xludf.DUMMYFUNCTION("""COMPUTED_VALUE"""),"V-1-600")</f>
        <v>V-1-600</v>
      </c>
      <c r="B450" t="str">
        <f ca="1">IFERROR(__xludf.DUMMYFUNCTION("""COMPUTED_VALUE"""),"Шкирова")</f>
        <v>Шкирова</v>
      </c>
      <c r="C450" t="str">
        <f ca="1">IFERROR(__xludf.DUMMYFUNCTION("""COMPUTED_VALUE"""),"Мария")</f>
        <v>Мария</v>
      </c>
      <c r="D450" t="str">
        <f ca="1">IFERROR(__xludf.DUMMYFUNCTION("""COMPUTED_VALUE"""),"Гимназия 56")</f>
        <v>Гимназия 56</v>
      </c>
      <c r="E450" s="5"/>
      <c r="F450" s="5"/>
      <c r="G450" s="5"/>
      <c r="H450" s="5"/>
      <c r="I450" s="5"/>
      <c r="J450" s="5"/>
      <c r="K450" s="5"/>
      <c r="L450" s="5"/>
      <c r="M450">
        <f ca="1">IFERROR(__xludf.DUMMYFUNCTION("""COMPUTED_VALUE"""),0)</f>
        <v>0</v>
      </c>
      <c r="N450" s="8"/>
    </row>
    <row r="451" spans="1:14" ht="12.45" hidden="1">
      <c r="A451" t="str">
        <f ca="1">IFERROR(__xludf.DUMMYFUNCTION("""COMPUTED_VALUE"""),"III-1-294")</f>
        <v>III-1-294</v>
      </c>
      <c r="B451" t="str">
        <f ca="1">IFERROR(__xludf.DUMMYFUNCTION("""COMPUTED_VALUE"""),"Лобачева")</f>
        <v>Лобачева</v>
      </c>
      <c r="C451" t="str">
        <f ca="1">IFERROR(__xludf.DUMMYFUNCTION("""COMPUTED_VALUE"""),"Эвелина")</f>
        <v>Эвелина</v>
      </c>
      <c r="D451" t="str">
        <f ca="1">IFERROR(__xludf.DUMMYFUNCTION("""COMPUTED_VALUE"""),"Школа 407")</f>
        <v>Школа 407</v>
      </c>
      <c r="E451" s="5"/>
      <c r="F451" s="5"/>
      <c r="G451" s="5"/>
      <c r="H451" s="5"/>
      <c r="I451" s="5"/>
      <c r="J451" s="5"/>
      <c r="K451" s="5"/>
      <c r="L451" s="5"/>
      <c r="M451">
        <f ca="1">IFERROR(__xludf.DUMMYFUNCTION("""COMPUTED_VALUE"""),0)</f>
        <v>0</v>
      </c>
      <c r="N451" s="8"/>
    </row>
    <row r="452" spans="1:14" ht="12.45" hidden="1">
      <c r="A452" t="str">
        <f ca="1">IFERROR(__xludf.DUMMYFUNCTION("""COMPUTED_VALUE"""),"III-1-306")</f>
        <v>III-1-306</v>
      </c>
      <c r="B452" t="str">
        <f ca="1">IFERROR(__xludf.DUMMYFUNCTION("""COMPUTED_VALUE"""),"Макеева")</f>
        <v>Макеева</v>
      </c>
      <c r="C452" t="str">
        <f ca="1">IFERROR(__xludf.DUMMYFUNCTION("""COMPUTED_VALUE"""),"Кристина")</f>
        <v>Кристина</v>
      </c>
      <c r="D452" t="str">
        <f ca="1">IFERROR(__xludf.DUMMYFUNCTION("""COMPUTED_VALUE"""),"Школа 407")</f>
        <v>Школа 407</v>
      </c>
      <c r="E452" s="5"/>
      <c r="F452" s="5"/>
      <c r="G452" s="5"/>
      <c r="H452" s="5"/>
      <c r="I452" s="5"/>
      <c r="J452" s="5"/>
      <c r="K452" s="5"/>
      <c r="L452" s="5"/>
      <c r="M452">
        <f ca="1">IFERROR(__xludf.DUMMYFUNCTION("""COMPUTED_VALUE"""),0)</f>
        <v>0</v>
      </c>
      <c r="N452" s="8"/>
    </row>
    <row r="453" spans="1:14" ht="12.45" hidden="1">
      <c r="A453" t="str">
        <f ca="1">IFERROR(__xludf.DUMMYFUNCTION("""COMPUTED_VALUE"""),"V-1-586")</f>
        <v>V-1-586</v>
      </c>
      <c r="B453" t="str">
        <f ca="1">IFERROR(__xludf.DUMMYFUNCTION("""COMPUTED_VALUE"""),"Шадрина")</f>
        <v>Шадрина</v>
      </c>
      <c r="C453" t="str">
        <f ca="1">IFERROR(__xludf.DUMMYFUNCTION("""COMPUTED_VALUE"""),"Карина")</f>
        <v>Карина</v>
      </c>
      <c r="D453" t="str">
        <f ca="1">IFERROR(__xludf.DUMMYFUNCTION("""COMPUTED_VALUE"""),"Школа 407")</f>
        <v>Школа 407</v>
      </c>
      <c r="E453" s="5">
        <f ca="1">IFERROR(__xludf.DUMMYFUNCTION("""COMPUTED_VALUE"""),0)</f>
        <v>0</v>
      </c>
      <c r="F453" s="5">
        <f ca="1">IFERROR(__xludf.DUMMYFUNCTION("""COMPUTED_VALUE"""),0)</f>
        <v>0</v>
      </c>
      <c r="G453" s="5"/>
      <c r="H453" s="5"/>
      <c r="I453" s="5">
        <f ca="1">IFERROR(__xludf.DUMMYFUNCTION("""COMPUTED_VALUE"""),0)</f>
        <v>0</v>
      </c>
      <c r="J453" s="5">
        <f ca="1">IFERROR(__xludf.DUMMYFUNCTION("""COMPUTED_VALUE"""),0)</f>
        <v>0</v>
      </c>
      <c r="K453" s="5"/>
      <c r="L453" s="5"/>
      <c r="M453">
        <f ca="1">IFERROR(__xludf.DUMMYFUNCTION("""COMPUTED_VALUE"""),0)</f>
        <v>0</v>
      </c>
      <c r="N453" s="8"/>
    </row>
    <row r="454" spans="1:14" ht="12.45" hidden="1">
      <c r="A454" t="str">
        <f ca="1">IFERROR(__xludf.DUMMYFUNCTION("""COMPUTED_VALUE"""),"V-1-322")</f>
        <v>V-1-322</v>
      </c>
      <c r="B454" t="str">
        <f ca="1">IFERROR(__xludf.DUMMYFUNCTION("""COMPUTED_VALUE"""),"Мещеров")</f>
        <v>Мещеров</v>
      </c>
      <c r="C454" t="str">
        <f ca="1">IFERROR(__xludf.DUMMYFUNCTION("""COMPUTED_VALUE"""),"Дениз")</f>
        <v>Дениз</v>
      </c>
      <c r="D454" t="str">
        <f ca="1">IFERROR(__xludf.DUMMYFUNCTION("""COMPUTED_VALUE"""),"Школа 500")</f>
        <v>Школа 500</v>
      </c>
      <c r="E454" s="5"/>
      <c r="F454" s="5"/>
      <c r="G454" s="5"/>
      <c r="H454" s="5"/>
      <c r="I454" s="5"/>
      <c r="J454" s="5"/>
      <c r="K454" s="5"/>
      <c r="L454" s="5"/>
      <c r="M454">
        <f ca="1">IFERROR(__xludf.DUMMYFUNCTION("""COMPUTED_VALUE"""),0)</f>
        <v>0</v>
      </c>
      <c r="N454" s="8"/>
    </row>
    <row r="455" spans="1:14" ht="12.45" hidden="1">
      <c r="A455" t="str">
        <f ca="1">IFERROR(__xludf.DUMMYFUNCTION("""COMPUTED_VALUE"""),"V-1-528")</f>
        <v>V-1-528</v>
      </c>
      <c r="B455" t="str">
        <f ca="1">IFERROR(__xludf.DUMMYFUNCTION("""COMPUTED_VALUE"""),"Третьяков")</f>
        <v>Третьяков</v>
      </c>
      <c r="C455" t="str">
        <f ca="1">IFERROR(__xludf.DUMMYFUNCTION("""COMPUTED_VALUE"""),"Лукьян")</f>
        <v>Лукьян</v>
      </c>
      <c r="D455" t="str">
        <f ca="1">IFERROR(__xludf.DUMMYFUNCTION("""COMPUTED_VALUE"""),"Школа 500")</f>
        <v>Школа 500</v>
      </c>
      <c r="E455" s="5"/>
      <c r="F455" s="5"/>
      <c r="G455" s="5"/>
      <c r="H455" s="5"/>
      <c r="I455" s="5"/>
      <c r="J455" s="5"/>
      <c r="K455" s="5"/>
      <c r="L455" s="5"/>
      <c r="M455">
        <f ca="1">IFERROR(__xludf.DUMMYFUNCTION("""COMPUTED_VALUE"""),0)</f>
        <v>0</v>
      </c>
      <c r="N455" s="8"/>
    </row>
    <row r="456" spans="1:14" ht="12.45" hidden="1">
      <c r="A456" t="str">
        <f ca="1">IFERROR(__xludf.DUMMYFUNCTION("""COMPUTED_VALUE"""),"V-1-568")</f>
        <v>V-1-568</v>
      </c>
      <c r="B456" t="str">
        <f ca="1">IFERROR(__xludf.DUMMYFUNCTION("""COMPUTED_VALUE"""),"Хриштакян")</f>
        <v>Хриштакян</v>
      </c>
      <c r="C456" t="str">
        <f ca="1">IFERROR(__xludf.DUMMYFUNCTION("""COMPUTED_VALUE"""),"Артур")</f>
        <v>Артур</v>
      </c>
      <c r="D456" t="str">
        <f ca="1">IFERROR(__xludf.DUMMYFUNCTION("""COMPUTED_VALUE"""),"Гимназия 524")</f>
        <v>Гимназия 524</v>
      </c>
      <c r="E456" s="5"/>
      <c r="F456" s="5"/>
      <c r="G456" s="5"/>
      <c r="H456" s="5"/>
      <c r="I456" s="5"/>
      <c r="J456" s="5"/>
      <c r="K456" s="5"/>
      <c r="L456" s="5"/>
      <c r="M456">
        <f ca="1">IFERROR(__xludf.DUMMYFUNCTION("""COMPUTED_VALUE"""),0)</f>
        <v>0</v>
      </c>
      <c r="N456" s="8"/>
    </row>
    <row r="457" spans="1:14" ht="12.45" hidden="1">
      <c r="A457" t="str">
        <f ca="1">IFERROR(__xludf.DUMMYFUNCTION("""COMPUTED_VALUE"""),"V-1-379")</f>
        <v>V-1-379</v>
      </c>
      <c r="B457" t="str">
        <f ca="1">IFERROR(__xludf.DUMMYFUNCTION("""COMPUTED_VALUE"""),"Орлов")</f>
        <v>Орлов</v>
      </c>
      <c r="C457" t="str">
        <f ca="1">IFERROR(__xludf.DUMMYFUNCTION("""COMPUTED_VALUE"""),"Михаил")</f>
        <v>Михаил</v>
      </c>
      <c r="D457" t="str">
        <f ca="1">IFERROR(__xludf.DUMMYFUNCTION("""COMPUTED_VALUE"""),"Школа Бугровская")</f>
        <v>Школа Бугровская</v>
      </c>
      <c r="E457" s="5"/>
      <c r="F457" s="5"/>
      <c r="G457" s="5"/>
      <c r="H457" s="5"/>
      <c r="I457" s="5"/>
      <c r="J457" s="5"/>
      <c r="K457" s="5"/>
      <c r="L457" s="5"/>
      <c r="M457">
        <f ca="1">IFERROR(__xludf.DUMMYFUNCTION("""COMPUTED_VALUE"""),0)</f>
        <v>0</v>
      </c>
      <c r="N457" s="8"/>
    </row>
    <row r="458" spans="1:14" ht="12.45" hidden="1">
      <c r="A458" t="str">
        <f ca="1">IFERROR(__xludf.DUMMYFUNCTION("""COMPUTED_VALUE"""),"V-1-352")</f>
        <v>V-1-352</v>
      </c>
      <c r="B458" t="str">
        <f ca="1">IFERROR(__xludf.DUMMYFUNCTION("""COMPUTED_VALUE"""),"Насыпаев")</f>
        <v>Насыпаев</v>
      </c>
      <c r="C458" t="str">
        <f ca="1">IFERROR(__xludf.DUMMYFUNCTION("""COMPUTED_VALUE"""),"Егор")</f>
        <v>Егор</v>
      </c>
      <c r="D458" t="str">
        <f ca="1">IFERROR(__xludf.DUMMYFUNCTION("""COMPUTED_VALUE"""),"Школа 71")</f>
        <v>Школа 71</v>
      </c>
      <c r="E458" s="5"/>
      <c r="F458" s="5"/>
      <c r="G458" s="5"/>
      <c r="H458" s="5"/>
      <c r="I458" s="5"/>
      <c r="J458" s="5"/>
      <c r="K458" s="5"/>
      <c r="L458" s="5"/>
      <c r="M458">
        <f ca="1">IFERROR(__xludf.DUMMYFUNCTION("""COMPUTED_VALUE"""),0)</f>
        <v>0</v>
      </c>
      <c r="N458" s="8"/>
    </row>
    <row r="459" spans="1:14" ht="12.45" hidden="1">
      <c r="A459" t="str">
        <f ca="1">IFERROR(__xludf.DUMMYFUNCTION("""COMPUTED_VALUE"""),"V-1-485")</f>
        <v>V-1-485</v>
      </c>
      <c r="B459" t="str">
        <f ca="1">IFERROR(__xludf.DUMMYFUNCTION("""COMPUTED_VALUE"""),"Соловьева")</f>
        <v>Соловьева</v>
      </c>
      <c r="C459" t="str">
        <f ca="1">IFERROR(__xludf.DUMMYFUNCTION("""COMPUTED_VALUE"""),"Алиса")</f>
        <v>Алиса</v>
      </c>
      <c r="D459" t="str">
        <f ca="1">IFERROR(__xludf.DUMMYFUNCTION("""COMPUTED_VALUE"""),"Лицей 150")</f>
        <v>Лицей 150</v>
      </c>
      <c r="E459" s="5"/>
      <c r="F459" s="5"/>
      <c r="G459" s="5"/>
      <c r="H459" s="5"/>
      <c r="I459" s="5"/>
      <c r="J459" s="5"/>
      <c r="K459" s="5"/>
      <c r="L459" s="5"/>
      <c r="M459">
        <f ca="1">IFERROR(__xludf.DUMMYFUNCTION("""COMPUTED_VALUE"""),0)</f>
        <v>0</v>
      </c>
      <c r="N459" s="8"/>
    </row>
    <row r="460" spans="1:14" ht="12.45" hidden="1">
      <c r="A460" t="str">
        <f ca="1">IFERROR(__xludf.DUMMYFUNCTION("""COMPUTED_VALUE"""),"V-1-572")</f>
        <v>V-1-572</v>
      </c>
      <c r="B460" t="str">
        <f ca="1">IFERROR(__xludf.DUMMYFUNCTION("""COMPUTED_VALUE"""),"Чайка")</f>
        <v>Чайка</v>
      </c>
      <c r="C460" t="str">
        <f ca="1">IFERROR(__xludf.DUMMYFUNCTION("""COMPUTED_VALUE"""),"Ульяна")</f>
        <v>Ульяна</v>
      </c>
      <c r="D460" t="str">
        <f ca="1">IFERROR(__xludf.DUMMYFUNCTION("""COMPUTED_VALUE"""),"Лицей 150")</f>
        <v>Лицей 150</v>
      </c>
      <c r="E460" s="5"/>
      <c r="F460" s="5"/>
      <c r="G460" s="5"/>
      <c r="H460" s="5"/>
      <c r="I460" s="5"/>
      <c r="J460" s="5"/>
      <c r="K460" s="5"/>
      <c r="L460" s="5"/>
      <c r="M460">
        <f ca="1">IFERROR(__xludf.DUMMYFUNCTION("""COMPUTED_VALUE"""),0)</f>
        <v>0</v>
      </c>
      <c r="N460" s="8"/>
    </row>
    <row r="461" spans="1:14" ht="12.45" hidden="1">
      <c r="A461" t="str">
        <f ca="1">IFERROR(__xludf.DUMMYFUNCTION("""COMPUTED_VALUE"""),"V-1-452")</f>
        <v>V-1-452</v>
      </c>
      <c r="B461" t="str">
        <f ca="1">IFERROR(__xludf.DUMMYFUNCTION("""COMPUTED_VALUE"""),"Рябов")</f>
        <v>Рябов</v>
      </c>
      <c r="C461" t="str">
        <f ca="1">IFERROR(__xludf.DUMMYFUNCTION("""COMPUTED_VALUE"""),"Максим")</f>
        <v>Максим</v>
      </c>
      <c r="D461" t="str">
        <f ca="1">IFERROR(__xludf.DUMMYFUNCTION("""COMPUTED_VALUE"""),"Школа 630")</f>
        <v>Школа 630</v>
      </c>
      <c r="E461" s="5"/>
      <c r="F461" s="5"/>
      <c r="G461" s="5"/>
      <c r="H461" s="5"/>
      <c r="I461" s="5"/>
      <c r="J461" s="5"/>
      <c r="K461" s="5"/>
      <c r="L461" s="5"/>
      <c r="M461">
        <f ca="1">IFERROR(__xludf.DUMMYFUNCTION("""COMPUTED_VALUE"""),0)</f>
        <v>0</v>
      </c>
      <c r="N461" s="8"/>
    </row>
    <row r="462" spans="1:14" ht="12.45" hidden="1">
      <c r="A462" t="str">
        <f ca="1">IFERROR(__xludf.DUMMYFUNCTION("""COMPUTED_VALUE"""),"V-1-488")</f>
        <v>V-1-488</v>
      </c>
      <c r="B462" t="str">
        <f ca="1">IFERROR(__xludf.DUMMYFUNCTION("""COMPUTED_VALUE"""),"Сошников")</f>
        <v>Сошников</v>
      </c>
      <c r="C462" t="str">
        <f ca="1">IFERROR(__xludf.DUMMYFUNCTION("""COMPUTED_VALUE"""),"Константин")</f>
        <v>Константин</v>
      </c>
      <c r="D462" t="str">
        <f ca="1">IFERROR(__xludf.DUMMYFUNCTION("""COMPUTED_VALUE"""),"Школа 630")</f>
        <v>Школа 630</v>
      </c>
      <c r="E462" s="5"/>
      <c r="F462" s="5"/>
      <c r="G462" s="5"/>
      <c r="H462" s="5"/>
      <c r="I462" s="5"/>
      <c r="J462" s="5"/>
      <c r="K462" s="5"/>
      <c r="L462" s="5"/>
      <c r="M462">
        <f ca="1">IFERROR(__xludf.DUMMYFUNCTION("""COMPUTED_VALUE"""),0)</f>
        <v>0</v>
      </c>
      <c r="N462" s="8"/>
    </row>
    <row r="463" spans="1:14" ht="12.45" hidden="1">
      <c r="A463" t="str">
        <f ca="1">IFERROR(__xludf.DUMMYFUNCTION("""COMPUTED_VALUE"""),"III-1-128")</f>
        <v>III-1-128</v>
      </c>
      <c r="B463" t="str">
        <f ca="1">IFERROR(__xludf.DUMMYFUNCTION("""COMPUTED_VALUE"""),"Глазырина")</f>
        <v>Глазырина</v>
      </c>
      <c r="C463" t="str">
        <f ca="1">IFERROR(__xludf.DUMMYFUNCTION("""COMPUTED_VALUE"""),"Ангелина")</f>
        <v>Ангелина</v>
      </c>
      <c r="D463" t="str">
        <f ca="1">IFERROR(__xludf.DUMMYFUNCTION("""COMPUTED_VALUE"""),"Гимназия 107")</f>
        <v>Гимназия 107</v>
      </c>
      <c r="E463" s="5"/>
      <c r="F463" s="5"/>
      <c r="G463" s="5"/>
      <c r="H463" s="5"/>
      <c r="I463" s="5"/>
      <c r="J463" s="5"/>
      <c r="K463" s="5"/>
      <c r="L463" s="5"/>
      <c r="M463">
        <f ca="1">IFERROR(__xludf.DUMMYFUNCTION("""COMPUTED_VALUE"""),0)</f>
        <v>0</v>
      </c>
      <c r="N463" s="8"/>
    </row>
    <row r="464" spans="1:14" ht="12.45" hidden="1">
      <c r="A464" t="str">
        <f ca="1">IFERROR(__xludf.DUMMYFUNCTION("""COMPUTED_VALUE"""),"V-1-355")</f>
        <v>V-1-355</v>
      </c>
      <c r="B464" t="str">
        <f ca="1">IFERROR(__xludf.DUMMYFUNCTION("""COMPUTED_VALUE"""),"Негрей")</f>
        <v>Негрей</v>
      </c>
      <c r="C464" t="str">
        <f ca="1">IFERROR(__xludf.DUMMYFUNCTION("""COMPUTED_VALUE"""),"Тимофей")</f>
        <v>Тимофей</v>
      </c>
      <c r="D464" t="str">
        <f ca="1">IFERROR(__xludf.DUMMYFUNCTION("""COMPUTED_VALUE"""),"Гимназия 107")</f>
        <v>Гимназия 107</v>
      </c>
      <c r="E464" s="5"/>
      <c r="F464" s="5"/>
      <c r="G464" s="5"/>
      <c r="H464" s="5"/>
      <c r="I464" s="5"/>
      <c r="J464" s="5"/>
      <c r="K464" s="5"/>
      <c r="L464" s="5"/>
      <c r="M464">
        <f ca="1">IFERROR(__xludf.DUMMYFUNCTION("""COMPUTED_VALUE"""),0)</f>
        <v>0</v>
      </c>
      <c r="N464" s="8"/>
    </row>
    <row r="465" spans="1:14" ht="12.45" hidden="1">
      <c r="A465" t="str">
        <f ca="1">IFERROR(__xludf.DUMMYFUNCTION("""COMPUTED_VALUE"""),"V-1-410")</f>
        <v>V-1-410</v>
      </c>
      <c r="B465" t="str">
        <f ca="1">IFERROR(__xludf.DUMMYFUNCTION("""COMPUTED_VALUE"""),"Полочанин")</f>
        <v>Полочанин</v>
      </c>
      <c r="C465" t="str">
        <f ca="1">IFERROR(__xludf.DUMMYFUNCTION("""COMPUTED_VALUE"""),"Матвей")</f>
        <v>Матвей</v>
      </c>
      <c r="D465" t="str">
        <f ca="1">IFERROR(__xludf.DUMMYFUNCTION("""COMPUTED_VALUE"""),"Гимназия 107")</f>
        <v>Гимназия 107</v>
      </c>
      <c r="E465" s="5"/>
      <c r="F465" s="5"/>
      <c r="G465" s="5"/>
      <c r="H465" s="5"/>
      <c r="I465" s="5"/>
      <c r="J465" s="5"/>
      <c r="K465" s="5"/>
      <c r="L465" s="5"/>
      <c r="M465">
        <f ca="1">IFERROR(__xludf.DUMMYFUNCTION("""COMPUTED_VALUE"""),0)</f>
        <v>0</v>
      </c>
      <c r="N465" s="8"/>
    </row>
    <row r="466" spans="1:14" ht="12.45" hidden="1">
      <c r="A466" t="str">
        <f ca="1">IFERROR(__xludf.DUMMYFUNCTION("""COMPUTED_VALUE"""),"V-1-437")</f>
        <v>V-1-437</v>
      </c>
      <c r="B466" t="str">
        <f ca="1">IFERROR(__xludf.DUMMYFUNCTION("""COMPUTED_VALUE"""),"Раудсон")</f>
        <v>Раудсон</v>
      </c>
      <c r="C466" t="str">
        <f ca="1">IFERROR(__xludf.DUMMYFUNCTION("""COMPUTED_VALUE"""),"Серафима")</f>
        <v>Серафима</v>
      </c>
      <c r="D466" t="str">
        <f ca="1">IFERROR(__xludf.DUMMYFUNCTION("""COMPUTED_VALUE"""),"Гимназия 107")</f>
        <v>Гимназия 107</v>
      </c>
      <c r="E466" s="5"/>
      <c r="F466" s="5"/>
      <c r="G466" s="5"/>
      <c r="H466" s="5"/>
      <c r="I466" s="5"/>
      <c r="J466" s="5"/>
      <c r="K466" s="5"/>
      <c r="L466" s="5"/>
      <c r="M466">
        <f ca="1">IFERROR(__xludf.DUMMYFUNCTION("""COMPUTED_VALUE"""),0)</f>
        <v>0</v>
      </c>
      <c r="N466" s="8"/>
    </row>
    <row r="467" spans="1:14" ht="12.45" hidden="1">
      <c r="A467" t="str">
        <f ca="1">IFERROR(__xludf.DUMMYFUNCTION("""COMPUTED_VALUE"""),"V-1-613")</f>
        <v>V-1-613</v>
      </c>
      <c r="B467" t="str">
        <f ca="1">IFERROR(__xludf.DUMMYFUNCTION("""COMPUTED_VALUE"""),"Яновская")</f>
        <v>Яновская</v>
      </c>
      <c r="C467" t="str">
        <f ca="1">IFERROR(__xludf.DUMMYFUNCTION("""COMPUTED_VALUE"""),"Вероника")</f>
        <v>Вероника</v>
      </c>
      <c r="D467" t="str">
        <f ca="1">IFERROR(__xludf.DUMMYFUNCTION("""COMPUTED_VALUE"""),"Школа 113")</f>
        <v>Школа 113</v>
      </c>
      <c r="E467" s="5"/>
      <c r="F467" s="5"/>
      <c r="G467" s="5"/>
      <c r="H467" s="5"/>
      <c r="I467" s="5"/>
      <c r="J467" s="5"/>
      <c r="K467" s="5"/>
      <c r="L467" s="5"/>
      <c r="M467">
        <f ca="1">IFERROR(__xludf.DUMMYFUNCTION("""COMPUTED_VALUE"""),0)</f>
        <v>0</v>
      </c>
      <c r="N467" s="8"/>
    </row>
    <row r="468" spans="1:14" ht="12.45" hidden="1">
      <c r="A468" t="str">
        <f ca="1">IFERROR(__xludf.DUMMYFUNCTION("""COMPUTED_VALUE"""),"III-1-073")</f>
        <v>III-1-073</v>
      </c>
      <c r="B468" t="str">
        <f ca="1">IFERROR(__xludf.DUMMYFUNCTION("""COMPUTED_VALUE"""),"Бочанов")</f>
        <v>Бочанов</v>
      </c>
      <c r="C468" t="str">
        <f ca="1">IFERROR(__xludf.DUMMYFUNCTION("""COMPUTED_VALUE"""),"Богдан")</f>
        <v>Богдан</v>
      </c>
      <c r="D468" t="str">
        <f ca="1">IFERROR(__xludf.DUMMYFUNCTION("""COMPUTED_VALUE"""),"Школа 489")</f>
        <v>Школа 489</v>
      </c>
      <c r="E468" s="5"/>
      <c r="F468" s="5"/>
      <c r="G468" s="5"/>
      <c r="H468" s="5"/>
      <c r="I468" s="5"/>
      <c r="J468" s="5"/>
      <c r="K468" s="5"/>
      <c r="L468" s="5"/>
      <c r="M468">
        <f ca="1">IFERROR(__xludf.DUMMYFUNCTION("""COMPUTED_VALUE"""),0)</f>
        <v>0</v>
      </c>
      <c r="N468" s="8"/>
    </row>
    <row r="469" spans="1:14" ht="12.45" hidden="1">
      <c r="A469" t="str">
        <f ca="1">IFERROR(__xludf.DUMMYFUNCTION("""COMPUTED_VALUE"""),"III-1-111")</f>
        <v>III-1-111</v>
      </c>
      <c r="B469" t="str">
        <f ca="1">IFERROR(__xludf.DUMMYFUNCTION("""COMPUTED_VALUE"""),"Вылку")</f>
        <v>Вылку</v>
      </c>
      <c r="C469" t="str">
        <f ca="1">IFERROR(__xludf.DUMMYFUNCTION("""COMPUTED_VALUE"""),"Влад")</f>
        <v>Влад</v>
      </c>
      <c r="D469" t="str">
        <f ca="1">IFERROR(__xludf.DUMMYFUNCTION("""COMPUTED_VALUE"""),"Школа 532")</f>
        <v>Школа 532</v>
      </c>
      <c r="E469" s="5"/>
      <c r="F469" s="5"/>
      <c r="G469" s="5"/>
      <c r="H469" s="5"/>
      <c r="I469" s="5"/>
      <c r="J469" s="5"/>
      <c r="K469" s="5"/>
      <c r="L469" s="5"/>
      <c r="M469">
        <f ca="1">IFERROR(__xludf.DUMMYFUNCTION("""COMPUTED_VALUE"""),0)</f>
        <v>0</v>
      </c>
      <c r="N469" s="8"/>
    </row>
    <row r="470" spans="1:14" ht="12.45" hidden="1">
      <c r="A470" t="str">
        <f ca="1">IFERROR(__xludf.DUMMYFUNCTION("""COMPUTED_VALUE"""),"III-1-139")</f>
        <v>III-1-139</v>
      </c>
      <c r="B470" t="str">
        <f ca="1">IFERROR(__xludf.DUMMYFUNCTION("""COMPUTED_VALUE"""),"Григорьев")</f>
        <v>Григорьев</v>
      </c>
      <c r="C470" t="str">
        <f ca="1">IFERROR(__xludf.DUMMYFUNCTION("""COMPUTED_VALUE"""),"Тимур")</f>
        <v>Тимур</v>
      </c>
      <c r="D470" t="str">
        <f ca="1">IFERROR(__xludf.DUMMYFUNCTION("""COMPUTED_VALUE"""),"Школа 532")</f>
        <v>Школа 532</v>
      </c>
      <c r="E470" s="5"/>
      <c r="F470" s="5"/>
      <c r="G470" s="5"/>
      <c r="H470" s="5"/>
      <c r="I470" s="5"/>
      <c r="J470" s="5"/>
      <c r="K470" s="5"/>
      <c r="L470" s="5"/>
      <c r="M470">
        <f ca="1">IFERROR(__xludf.DUMMYFUNCTION("""COMPUTED_VALUE"""),0)</f>
        <v>0</v>
      </c>
      <c r="N470" s="8"/>
    </row>
    <row r="471" spans="1:14" ht="12.45" hidden="1">
      <c r="A471" t="str">
        <f ca="1">IFERROR(__xludf.DUMMYFUNCTION("""COMPUTED_VALUE"""),"III-1-239")</f>
        <v>III-1-239</v>
      </c>
      <c r="B471" t="str">
        <f ca="1">IFERROR(__xludf.DUMMYFUNCTION("""COMPUTED_VALUE"""),"Козлов")</f>
        <v>Козлов</v>
      </c>
      <c r="C471" t="str">
        <f ca="1">IFERROR(__xludf.DUMMYFUNCTION("""COMPUTED_VALUE"""),"Роман")</f>
        <v>Роман</v>
      </c>
      <c r="D471" t="str">
        <f ca="1">IFERROR(__xludf.DUMMYFUNCTION("""COMPUTED_VALUE"""),"Школа 532")</f>
        <v>Школа 532</v>
      </c>
      <c r="E471" s="5"/>
      <c r="F471" s="5"/>
      <c r="G471" s="5"/>
      <c r="H471" s="5"/>
      <c r="I471" s="5"/>
      <c r="J471" s="5"/>
      <c r="K471" s="5"/>
      <c r="L471" s="5"/>
      <c r="M471">
        <f ca="1">IFERROR(__xludf.DUMMYFUNCTION("""COMPUTED_VALUE"""),0)</f>
        <v>0</v>
      </c>
      <c r="N471" s="8"/>
    </row>
    <row r="472" spans="1:14" ht="12.45" hidden="1">
      <c r="A472" t="str">
        <f ca="1">IFERROR(__xludf.DUMMYFUNCTION("""COMPUTED_VALUE"""),"III-1-252")</f>
        <v>III-1-252</v>
      </c>
      <c r="B472" t="str">
        <f ca="1">IFERROR(__xludf.DUMMYFUNCTION("""COMPUTED_VALUE"""),"Королев")</f>
        <v>Королев</v>
      </c>
      <c r="C472" t="str">
        <f ca="1">IFERROR(__xludf.DUMMYFUNCTION("""COMPUTED_VALUE"""),"Лев")</f>
        <v>Лев</v>
      </c>
      <c r="D472" t="str">
        <f ca="1">IFERROR(__xludf.DUMMYFUNCTION("""COMPUTED_VALUE"""),"Школа 532")</f>
        <v>Школа 532</v>
      </c>
      <c r="E472" s="5"/>
      <c r="F472" s="5"/>
      <c r="G472" s="5"/>
      <c r="H472" s="5"/>
      <c r="I472" s="5"/>
      <c r="J472" s="5"/>
      <c r="K472" s="5"/>
      <c r="L472" s="5"/>
      <c r="M472">
        <f ca="1">IFERROR(__xludf.DUMMYFUNCTION("""COMPUTED_VALUE"""),0)</f>
        <v>0</v>
      </c>
      <c r="N472" s="8"/>
    </row>
    <row r="473" spans="1:14" ht="12.45" hidden="1">
      <c r="A473" t="str">
        <f ca="1">IFERROR(__xludf.DUMMYFUNCTION("""COMPUTED_VALUE"""),"III-1-268")</f>
        <v>III-1-268</v>
      </c>
      <c r="B473" t="str">
        <f ca="1">IFERROR(__xludf.DUMMYFUNCTION("""COMPUTED_VALUE"""),"Круглов")</f>
        <v>Круглов</v>
      </c>
      <c r="C473" t="str">
        <f ca="1">IFERROR(__xludf.DUMMYFUNCTION("""COMPUTED_VALUE"""),"Григорий")</f>
        <v>Григорий</v>
      </c>
      <c r="D473" t="str">
        <f ca="1">IFERROR(__xludf.DUMMYFUNCTION("""COMPUTED_VALUE"""),"Школа 532")</f>
        <v>Школа 532</v>
      </c>
      <c r="E473" s="5"/>
      <c r="F473" s="5"/>
      <c r="G473" s="5"/>
      <c r="H473" s="5"/>
      <c r="I473" s="5"/>
      <c r="J473" s="5"/>
      <c r="K473" s="5"/>
      <c r="L473" s="5"/>
      <c r="M473">
        <f ca="1">IFERROR(__xludf.DUMMYFUNCTION("""COMPUTED_VALUE"""),0)</f>
        <v>0</v>
      </c>
      <c r="N473" s="8"/>
    </row>
    <row r="474" spans="1:14" ht="12.45" hidden="1">
      <c r="A474" t="str">
        <f ca="1">IFERROR(__xludf.DUMMYFUNCTION("""COMPUTED_VALUE"""),"III-1-295")</f>
        <v>III-1-295</v>
      </c>
      <c r="B474" t="str">
        <f ca="1">IFERROR(__xludf.DUMMYFUNCTION("""COMPUTED_VALUE"""),"Логачев")</f>
        <v>Логачев</v>
      </c>
      <c r="C474" t="str">
        <f ca="1">IFERROR(__xludf.DUMMYFUNCTION("""COMPUTED_VALUE"""),"Владимир")</f>
        <v>Владимир</v>
      </c>
      <c r="D474" t="str">
        <f ca="1">IFERROR(__xludf.DUMMYFUNCTION("""COMPUTED_VALUE"""),"Школа 532")</f>
        <v>Школа 532</v>
      </c>
      <c r="E474" s="5"/>
      <c r="F474" s="5"/>
      <c r="G474" s="5"/>
      <c r="H474" s="5"/>
      <c r="I474" s="5"/>
      <c r="J474" s="5"/>
      <c r="K474" s="5"/>
      <c r="L474" s="5"/>
      <c r="M474">
        <f ca="1">IFERROR(__xludf.DUMMYFUNCTION("""COMPUTED_VALUE"""),0)</f>
        <v>0</v>
      </c>
      <c r="N474" s="8"/>
    </row>
    <row r="475" spans="1:14" ht="12.45" hidden="1">
      <c r="A475" t="str">
        <f ca="1">IFERROR(__xludf.DUMMYFUNCTION("""COMPUTED_VALUE"""),"III-1-302")</f>
        <v>III-1-302</v>
      </c>
      <c r="B475" t="str">
        <f ca="1">IFERROR(__xludf.DUMMYFUNCTION("""COMPUTED_VALUE"""),"Луттер")</f>
        <v>Луттер</v>
      </c>
      <c r="C475" t="str">
        <f ca="1">IFERROR(__xludf.DUMMYFUNCTION("""COMPUTED_VALUE"""),"Глеб")</f>
        <v>Глеб</v>
      </c>
      <c r="D475" t="str">
        <f ca="1">IFERROR(__xludf.DUMMYFUNCTION("""COMPUTED_VALUE"""),"Школа 435")</f>
        <v>Школа 435</v>
      </c>
      <c r="E475" s="5"/>
      <c r="F475" s="5"/>
      <c r="G475" s="5"/>
      <c r="H475" s="5"/>
      <c r="I475" s="5"/>
      <c r="J475" s="5"/>
      <c r="K475" s="5"/>
      <c r="L475" s="5"/>
      <c r="M475">
        <f ca="1">IFERROR(__xludf.DUMMYFUNCTION("""COMPUTED_VALUE"""),0)</f>
        <v>0</v>
      </c>
      <c r="N475" s="8"/>
    </row>
    <row r="476" spans="1:14" ht="12.45" hidden="1">
      <c r="A476" t="str">
        <f ca="1">IFERROR(__xludf.DUMMYFUNCTION("""COMPUTED_VALUE"""),"V-1-350")</f>
        <v>V-1-350</v>
      </c>
      <c r="B476" t="str">
        <f ca="1">IFERROR(__xludf.DUMMYFUNCTION("""COMPUTED_VALUE"""),"Назаров")</f>
        <v>Назаров</v>
      </c>
      <c r="C476" t="str">
        <f ca="1">IFERROR(__xludf.DUMMYFUNCTION("""COMPUTED_VALUE"""),"Владислав")</f>
        <v>Владислав</v>
      </c>
      <c r="D476" t="str">
        <f ca="1">IFERROR(__xludf.DUMMYFUNCTION("""COMPUTED_VALUE"""),"Школа 532")</f>
        <v>Школа 532</v>
      </c>
      <c r="E476" s="5"/>
      <c r="F476" s="5"/>
      <c r="G476" s="5"/>
      <c r="H476" s="5"/>
      <c r="I476" s="5"/>
      <c r="J476" s="5"/>
      <c r="K476" s="5"/>
      <c r="L476" s="5"/>
      <c r="M476">
        <f ca="1">IFERROR(__xludf.DUMMYFUNCTION("""COMPUTED_VALUE"""),0)</f>
        <v>0</v>
      </c>
      <c r="N476" s="8"/>
    </row>
    <row r="477" spans="1:14" ht="12.45" hidden="1">
      <c r="A477" t="str">
        <f ca="1">IFERROR(__xludf.DUMMYFUNCTION("""COMPUTED_VALUE"""),"V-1-396")</f>
        <v>V-1-396</v>
      </c>
      <c r="B477" t="str">
        <f ca="1">IFERROR(__xludf.DUMMYFUNCTION("""COMPUTED_VALUE"""),"Петрова")</f>
        <v>Петрова</v>
      </c>
      <c r="C477" t="str">
        <f ca="1">IFERROR(__xludf.DUMMYFUNCTION("""COMPUTED_VALUE"""),"Софья")</f>
        <v>Софья</v>
      </c>
      <c r="D477" t="str">
        <f ca="1">IFERROR(__xludf.DUMMYFUNCTION("""COMPUTED_VALUE"""),"Школа 532")</f>
        <v>Школа 532</v>
      </c>
      <c r="E477" s="5"/>
      <c r="F477" s="5"/>
      <c r="G477" s="5"/>
      <c r="H477" s="5"/>
      <c r="I477" s="5"/>
      <c r="J477" s="5"/>
      <c r="K477" s="5"/>
      <c r="L477" s="5"/>
      <c r="M477">
        <f ca="1">IFERROR(__xludf.DUMMYFUNCTION("""COMPUTED_VALUE"""),0)</f>
        <v>0</v>
      </c>
      <c r="N477" s="8"/>
    </row>
    <row r="478" spans="1:14" ht="12.45" hidden="1">
      <c r="A478" t="str">
        <f ca="1">IFERROR(__xludf.DUMMYFUNCTION("""COMPUTED_VALUE"""),"V-1-438")</f>
        <v>V-1-438</v>
      </c>
      <c r="B478" t="str">
        <f ca="1">IFERROR(__xludf.DUMMYFUNCTION("""COMPUTED_VALUE"""),"Раунест")</f>
        <v>Раунест</v>
      </c>
      <c r="C478" t="str">
        <f ca="1">IFERROR(__xludf.DUMMYFUNCTION("""COMPUTED_VALUE"""),"Глеб")</f>
        <v>Глеб</v>
      </c>
      <c r="D478" t="str">
        <f ca="1">IFERROR(__xludf.DUMMYFUNCTION("""COMPUTED_VALUE"""),"Школа 532")</f>
        <v>Школа 532</v>
      </c>
      <c r="E478" s="5"/>
      <c r="F478" s="5"/>
      <c r="G478" s="5"/>
      <c r="H478" s="5"/>
      <c r="I478" s="5"/>
      <c r="J478" s="5"/>
      <c r="K478" s="5"/>
      <c r="L478" s="5"/>
      <c r="M478">
        <f ca="1">IFERROR(__xludf.DUMMYFUNCTION("""COMPUTED_VALUE"""),0)</f>
        <v>0</v>
      </c>
      <c r="N478" s="8"/>
    </row>
    <row r="479" spans="1:14" ht="12.45" hidden="1">
      <c r="A479" t="str">
        <f ca="1">IFERROR(__xludf.DUMMYFUNCTION("""COMPUTED_VALUE"""),"V-1-498")</f>
        <v>V-1-498</v>
      </c>
      <c r="B479" t="str">
        <f ca="1">IFERROR(__xludf.DUMMYFUNCTION("""COMPUTED_VALUE"""),"Строганова")</f>
        <v>Строганова</v>
      </c>
      <c r="C479" t="str">
        <f ca="1">IFERROR(__xludf.DUMMYFUNCTION("""COMPUTED_VALUE"""),"Софья")</f>
        <v>Софья</v>
      </c>
      <c r="D479" t="str">
        <f ca="1">IFERROR(__xludf.DUMMYFUNCTION("""COMPUTED_VALUE"""),"Школа 532")</f>
        <v>Школа 532</v>
      </c>
      <c r="E479" s="5"/>
      <c r="F479" s="5"/>
      <c r="G479" s="5"/>
      <c r="H479" s="5"/>
      <c r="I479" s="5"/>
      <c r="J479" s="5"/>
      <c r="K479" s="5"/>
      <c r="L479" s="5"/>
      <c r="M479">
        <f ca="1">IFERROR(__xludf.DUMMYFUNCTION("""COMPUTED_VALUE"""),0)</f>
        <v>0</v>
      </c>
      <c r="N479" s="8"/>
    </row>
    <row r="480" spans="1:14" ht="12.45" hidden="1">
      <c r="A480" t="str">
        <f ca="1">IFERROR(__xludf.DUMMYFUNCTION("""COMPUTED_VALUE"""),"V-1-552")</f>
        <v>V-1-552</v>
      </c>
      <c r="B480" t="str">
        <f ca="1">IFERROR(__xludf.DUMMYFUNCTION("""COMPUTED_VALUE"""),"Фомина")</f>
        <v>Фомина</v>
      </c>
      <c r="C480" t="str">
        <f ca="1">IFERROR(__xludf.DUMMYFUNCTION("""COMPUTED_VALUE"""),"Варвара")</f>
        <v>Варвара</v>
      </c>
      <c r="D480" t="str">
        <f ca="1">IFERROR(__xludf.DUMMYFUNCTION("""COMPUTED_VALUE"""),"Школа 532")</f>
        <v>Школа 532</v>
      </c>
      <c r="E480" s="5"/>
      <c r="F480" s="5"/>
      <c r="G480" s="5"/>
      <c r="H480" s="5"/>
      <c r="I480" s="5"/>
      <c r="J480" s="5"/>
      <c r="K480" s="5"/>
      <c r="L480" s="5"/>
      <c r="M480">
        <f ca="1">IFERROR(__xludf.DUMMYFUNCTION("""COMPUTED_VALUE"""),0)</f>
        <v>0</v>
      </c>
      <c r="N480" s="8"/>
    </row>
    <row r="481" spans="1:14" ht="12.45" hidden="1">
      <c r="A481" t="str">
        <f ca="1">IFERROR(__xludf.DUMMYFUNCTION("""COMPUTED_VALUE"""),"III-1-259")</f>
        <v>III-1-259</v>
      </c>
      <c r="B481" t="str">
        <f ca="1">IFERROR(__xludf.DUMMYFUNCTION("""COMPUTED_VALUE"""),"Костюнин")</f>
        <v>Костюнин</v>
      </c>
      <c r="C481" t="str">
        <f ca="1">IFERROR(__xludf.DUMMYFUNCTION("""COMPUTED_VALUE"""),"Михаил")</f>
        <v>Михаил</v>
      </c>
      <c r="D481" t="str">
        <f ca="1">IFERROR(__xludf.DUMMYFUNCTION("""COMPUTED_VALUE"""),"Гимназия 44 имени Деева В.Н. г. Ульяновска")</f>
        <v>Гимназия 44 имени Деева В.Н. г. Ульяновска</v>
      </c>
      <c r="E481" s="5"/>
      <c r="F481" s="5"/>
      <c r="G481" s="5"/>
      <c r="H481" s="5"/>
      <c r="I481" s="5"/>
      <c r="J481" s="5"/>
      <c r="K481" s="5"/>
      <c r="L481" s="5"/>
      <c r="M481">
        <f ca="1">IFERROR(__xludf.DUMMYFUNCTION("""COMPUTED_VALUE"""),0)</f>
        <v>0</v>
      </c>
      <c r="N481" s="8"/>
    </row>
    <row r="482" spans="1:14" ht="12.45" hidden="1">
      <c r="A482" t="str">
        <f ca="1">IFERROR(__xludf.DUMMYFUNCTION("""COMPUTED_VALUE"""),"V-1-592")</f>
        <v>V-1-592</v>
      </c>
      <c r="B482" t="str">
        <f ca="1">IFERROR(__xludf.DUMMYFUNCTION("""COMPUTED_VALUE"""),"Шачнева")</f>
        <v>Шачнева</v>
      </c>
      <c r="C482" t="str">
        <f ca="1">IFERROR(__xludf.DUMMYFUNCTION("""COMPUTED_VALUE"""),"Анастасия")</f>
        <v>Анастасия</v>
      </c>
      <c r="D482" t="str">
        <f ca="1">IFERROR(__xludf.DUMMYFUNCTION("""COMPUTED_VALUE"""),"Лицей физико-математический лицей 38")</f>
        <v>Лицей физико-математический лицей 38</v>
      </c>
      <c r="E482" s="5"/>
      <c r="F482" s="5"/>
      <c r="G482" s="5"/>
      <c r="H482" s="5"/>
      <c r="I482" s="5"/>
      <c r="J482" s="5"/>
      <c r="K482" s="5"/>
      <c r="L482" s="5"/>
      <c r="M482">
        <f ca="1">IFERROR(__xludf.DUMMYFUNCTION("""COMPUTED_VALUE"""),0)</f>
        <v>0</v>
      </c>
      <c r="N482" s="8"/>
    </row>
    <row r="483" spans="1:14" ht="12.45" hidden="1">
      <c r="A483" t="str">
        <f ca="1">IFERROR(__xludf.DUMMYFUNCTION("""COMPUTED_VALUE"""),"V-1-487")</f>
        <v>V-1-487</v>
      </c>
      <c r="B483" t="str">
        <f ca="1">IFERROR(__xludf.DUMMYFUNCTION("""COMPUTED_VALUE"""),"Сорогин")</f>
        <v>Сорогин</v>
      </c>
      <c r="C483" t="str">
        <f ca="1">IFERROR(__xludf.DUMMYFUNCTION("""COMPUTED_VALUE"""),"Максим")</f>
        <v>Максим</v>
      </c>
      <c r="D483" t="str">
        <f ca="1">IFERROR(__xludf.DUMMYFUNCTION("""COMPUTED_VALUE"""),"Школа 223")</f>
        <v>Школа 223</v>
      </c>
      <c r="E483" s="5"/>
      <c r="F483" s="5"/>
      <c r="G483" s="5"/>
      <c r="H483" s="5"/>
      <c r="I483" s="5"/>
      <c r="J483" s="5"/>
      <c r="K483" s="5"/>
      <c r="L483" s="5"/>
      <c r="M483">
        <f ca="1">IFERROR(__xludf.DUMMYFUNCTION("""COMPUTED_VALUE"""),0)</f>
        <v>0</v>
      </c>
      <c r="N483" s="8"/>
    </row>
    <row r="484" spans="1:14" ht="12.45" hidden="1">
      <c r="A484" t="str">
        <f ca="1">IFERROR(__xludf.DUMMYFUNCTION("""COMPUTED_VALUE"""),"V-1-325")</f>
        <v>V-1-325</v>
      </c>
      <c r="B484" t="str">
        <f ca="1">IFERROR(__xludf.DUMMYFUNCTION("""COMPUTED_VALUE"""),"Милойчикова")</f>
        <v>Милойчикова</v>
      </c>
      <c r="C484" t="str">
        <f ca="1">IFERROR(__xludf.DUMMYFUNCTION("""COMPUTED_VALUE"""),"София")</f>
        <v>София</v>
      </c>
      <c r="D484" t="str">
        <f ca="1">IFERROR(__xludf.DUMMYFUNCTION("""COMPUTED_VALUE"""),"Гимназия 248")</f>
        <v>Гимназия 248</v>
      </c>
      <c r="E484" s="5"/>
      <c r="F484" s="5"/>
      <c r="G484" s="5"/>
      <c r="H484" s="5"/>
      <c r="I484" s="5"/>
      <c r="J484" s="5"/>
      <c r="K484" s="5"/>
      <c r="L484" s="5"/>
      <c r="M484">
        <f ca="1">IFERROR(__xludf.DUMMYFUNCTION("""COMPUTED_VALUE"""),0)</f>
        <v>0</v>
      </c>
      <c r="N484" s="8"/>
    </row>
    <row r="485" spans="1:14" ht="12.45" hidden="1">
      <c r="A485" t="str">
        <f ca="1">IFERROR(__xludf.DUMMYFUNCTION("""COMPUTED_VALUE"""),"V-1-326")</f>
        <v>V-1-326</v>
      </c>
      <c r="B485" t="str">
        <f ca="1">IFERROR(__xludf.DUMMYFUNCTION("""COMPUTED_VALUE"""),"Минина")</f>
        <v>Минина</v>
      </c>
      <c r="C485" t="str">
        <f ca="1">IFERROR(__xludf.DUMMYFUNCTION("""COMPUTED_VALUE"""),"Аглая")</f>
        <v>Аглая</v>
      </c>
      <c r="D485" t="str">
        <f ca="1">IFERROR(__xludf.DUMMYFUNCTION("""COMPUTED_VALUE"""),"Гимназия 248")</f>
        <v>Гимназия 248</v>
      </c>
      <c r="E485" s="5"/>
      <c r="F485" s="5"/>
      <c r="G485" s="5"/>
      <c r="H485" s="5"/>
      <c r="I485" s="5"/>
      <c r="J485" s="5"/>
      <c r="K485" s="5"/>
      <c r="L485" s="5"/>
      <c r="M485">
        <f ca="1">IFERROR(__xludf.DUMMYFUNCTION("""COMPUTED_VALUE"""),0)</f>
        <v>0</v>
      </c>
      <c r="N485" s="8"/>
    </row>
    <row r="486" spans="1:14" ht="12.45" hidden="1">
      <c r="A486" t="str">
        <f ca="1">IFERROR(__xludf.DUMMYFUNCTION("""COMPUTED_VALUE"""),"V-1-577")</f>
        <v>V-1-577</v>
      </c>
      <c r="B486" t="str">
        <f ca="1">IFERROR(__xludf.DUMMYFUNCTION("""COMPUTED_VALUE"""),"Чернычко")</f>
        <v>Чернычко</v>
      </c>
      <c r="C486" t="str">
        <f ca="1">IFERROR(__xludf.DUMMYFUNCTION("""COMPUTED_VALUE"""),"Маргарита")</f>
        <v>Маргарита</v>
      </c>
      <c r="D486" t="str">
        <f ca="1">IFERROR(__xludf.DUMMYFUNCTION("""COMPUTED_VALUE"""),"Гимназия 642")</f>
        <v>Гимназия 642</v>
      </c>
      <c r="E486" s="5"/>
      <c r="F486" s="5"/>
      <c r="G486" s="5"/>
      <c r="H486" s="5"/>
      <c r="I486" s="5"/>
      <c r="J486" s="5"/>
      <c r="K486" s="5"/>
      <c r="L486" s="5"/>
      <c r="M486">
        <f ca="1">IFERROR(__xludf.DUMMYFUNCTION("""COMPUTED_VALUE"""),0)</f>
        <v>0</v>
      </c>
      <c r="N486" s="8"/>
    </row>
    <row r="487" spans="1:14" ht="12.45" hidden="1">
      <c r="A487" t="str">
        <f ca="1">IFERROR(__xludf.DUMMYFUNCTION("""COMPUTED_VALUE"""),"V-1-317")</f>
        <v>V-1-317</v>
      </c>
      <c r="B487" t="str">
        <f ca="1">IFERROR(__xludf.DUMMYFUNCTION("""COMPUTED_VALUE"""),"Матяш")</f>
        <v>Матяш</v>
      </c>
      <c r="C487" t="str">
        <f ca="1">IFERROR(__xludf.DUMMYFUNCTION("""COMPUTED_VALUE"""),"Ольга")</f>
        <v>Ольга</v>
      </c>
      <c r="D487" t="str">
        <f ca="1">IFERROR(__xludf.DUMMYFUNCTION("""COMPUTED_VALUE"""),"Школа 611")</f>
        <v>Школа 611</v>
      </c>
      <c r="E487" s="5"/>
      <c r="F487" s="5"/>
      <c r="G487" s="5"/>
      <c r="H487" s="5"/>
      <c r="I487" s="5"/>
      <c r="J487" s="5"/>
      <c r="K487" s="5"/>
      <c r="L487" s="5"/>
      <c r="M487">
        <f ca="1">IFERROR(__xludf.DUMMYFUNCTION("""COMPUTED_VALUE"""),0)</f>
        <v>0</v>
      </c>
      <c r="N487" s="8"/>
    </row>
    <row r="488" spans="1:14" ht="12.45" hidden="1">
      <c r="A488" t="str">
        <f ca="1">IFERROR(__xludf.DUMMYFUNCTION("""COMPUTED_VALUE"""),"V-1-557")</f>
        <v>V-1-557</v>
      </c>
      <c r="B488" t="str">
        <f ca="1">IFERROR(__xludf.DUMMYFUNCTION("""COMPUTED_VALUE"""),"Фурлетова")</f>
        <v>Фурлетова</v>
      </c>
      <c r="C488" t="str">
        <f ca="1">IFERROR(__xludf.DUMMYFUNCTION("""COMPUTED_VALUE"""),"Алина")</f>
        <v>Алина</v>
      </c>
      <c r="D488" t="str">
        <f ca="1">IFERROR(__xludf.DUMMYFUNCTION("""COMPUTED_VALUE"""),"Школа 611")</f>
        <v>Школа 611</v>
      </c>
      <c r="E488" s="5"/>
      <c r="F488" s="5"/>
      <c r="G488" s="5"/>
      <c r="H488" s="5"/>
      <c r="I488" s="5"/>
      <c r="J488" s="5"/>
      <c r="K488" s="5"/>
      <c r="L488" s="5"/>
      <c r="M488">
        <f ca="1">IFERROR(__xludf.DUMMYFUNCTION("""COMPUTED_VALUE"""),0)</f>
        <v>0</v>
      </c>
      <c r="N488" s="8"/>
    </row>
    <row r="489" spans="1:14" ht="12.45" hidden="1">
      <c r="A489" t="str">
        <f ca="1">IFERROR(__xludf.DUMMYFUNCTION("""COMPUTED_VALUE"""),"V-1-584")</f>
        <v>V-1-584</v>
      </c>
      <c r="B489" t="str">
        <f ca="1">IFERROR(__xludf.DUMMYFUNCTION("""COMPUTED_VALUE"""),"Чумак")</f>
        <v>Чумак</v>
      </c>
      <c r="C489" t="str">
        <f ca="1">IFERROR(__xludf.DUMMYFUNCTION("""COMPUTED_VALUE"""),"Евгений")</f>
        <v>Евгений</v>
      </c>
      <c r="D489" t="str">
        <f ca="1">IFERROR(__xludf.DUMMYFUNCTION("""COMPUTED_VALUE"""),"Школа 611")</f>
        <v>Школа 611</v>
      </c>
      <c r="E489" s="5"/>
      <c r="F489" s="5"/>
      <c r="G489" s="5"/>
      <c r="H489" s="5"/>
      <c r="I489" s="5"/>
      <c r="J489" s="5"/>
      <c r="K489" s="5"/>
      <c r="L489" s="5"/>
      <c r="M489">
        <f ca="1">IFERROR(__xludf.DUMMYFUNCTION("""COMPUTED_VALUE"""),0)</f>
        <v>0</v>
      </c>
      <c r="N489" s="8"/>
    </row>
    <row r="490" spans="1:14" ht="12.45" hidden="1">
      <c r="A490" t="str">
        <f ca="1">IFERROR(__xludf.DUMMYFUNCTION("""COMPUTED_VALUE"""),"III-1-192")</f>
        <v>III-1-192</v>
      </c>
      <c r="B490" t="str">
        <f ca="1">IFERROR(__xludf.DUMMYFUNCTION("""COMPUTED_VALUE"""),"Зернова")</f>
        <v>Зернова</v>
      </c>
      <c r="C490" t="str">
        <f ca="1">IFERROR(__xludf.DUMMYFUNCTION("""COMPUTED_VALUE"""),"Мария")</f>
        <v>Мария</v>
      </c>
      <c r="D490" t="str">
        <f ca="1">IFERROR(__xludf.DUMMYFUNCTION("""COMPUTED_VALUE"""),"Лицей 150")</f>
        <v>Лицей 150</v>
      </c>
      <c r="E490" s="5"/>
      <c r="F490" s="5"/>
      <c r="G490" s="5"/>
      <c r="H490" s="5"/>
      <c r="I490" s="5"/>
      <c r="J490" s="5"/>
      <c r="K490" s="5"/>
      <c r="L490" s="5"/>
      <c r="M490">
        <f ca="1">IFERROR(__xludf.DUMMYFUNCTION("""COMPUTED_VALUE"""),0)</f>
        <v>0</v>
      </c>
      <c r="N490" s="8"/>
    </row>
    <row r="491" spans="1:14" ht="12.45" hidden="1">
      <c r="A491" t="str">
        <f ca="1">IFERROR(__xludf.DUMMYFUNCTION("""COMPUTED_VALUE"""),"III-1-136")</f>
        <v>III-1-136</v>
      </c>
      <c r="B491" t="str">
        <f ca="1">IFERROR(__xludf.DUMMYFUNCTION("""COMPUTED_VALUE"""),"Горчаков")</f>
        <v>Горчаков</v>
      </c>
      <c r="C491" t="str">
        <f ca="1">IFERROR(__xludf.DUMMYFUNCTION("""COMPUTED_VALUE"""),"Кирилл")</f>
        <v>Кирилл</v>
      </c>
      <c r="D491" t="str">
        <f ca="1">IFERROR(__xludf.DUMMYFUNCTION("""COMPUTED_VALUE"""),"Школа 625")</f>
        <v>Школа 625</v>
      </c>
      <c r="E491" s="5"/>
      <c r="F491" s="5"/>
      <c r="G491" s="5"/>
      <c r="H491" s="5"/>
      <c r="I491" s="5"/>
      <c r="J491" s="5"/>
      <c r="K491" s="5"/>
      <c r="L491" s="5"/>
      <c r="M491">
        <f ca="1">IFERROR(__xludf.DUMMYFUNCTION("""COMPUTED_VALUE"""),0)</f>
        <v>0</v>
      </c>
      <c r="N491" s="8"/>
    </row>
    <row r="492" spans="1:14" ht="12.45" hidden="1">
      <c r="A492" t="str">
        <f ca="1">IFERROR(__xludf.DUMMYFUNCTION("""COMPUTED_VALUE"""),"III-1-164")</f>
        <v>III-1-164</v>
      </c>
      <c r="B492" t="str">
        <f ca="1">IFERROR(__xludf.DUMMYFUNCTION("""COMPUTED_VALUE"""),"Докучаева")</f>
        <v>Докучаева</v>
      </c>
      <c r="C492" t="str">
        <f ca="1">IFERROR(__xludf.DUMMYFUNCTION("""COMPUTED_VALUE"""),"Мария")</f>
        <v>Мария</v>
      </c>
      <c r="D492" t="str">
        <f ca="1">IFERROR(__xludf.DUMMYFUNCTION("""COMPUTED_VALUE"""),"Школа 625")</f>
        <v>Школа 625</v>
      </c>
      <c r="E492" s="5"/>
      <c r="F492" s="5"/>
      <c r="G492" s="5"/>
      <c r="H492" s="5"/>
      <c r="I492" s="5"/>
      <c r="J492" s="5"/>
      <c r="K492" s="5"/>
      <c r="L492" s="5"/>
      <c r="M492">
        <f ca="1">IFERROR(__xludf.DUMMYFUNCTION("""COMPUTED_VALUE"""),0)</f>
        <v>0</v>
      </c>
      <c r="N492" s="8"/>
    </row>
    <row r="493" spans="1:14" ht="12.45" hidden="1">
      <c r="A493" t="str">
        <f ca="1">IFERROR(__xludf.DUMMYFUNCTION("""COMPUTED_VALUE"""),"V-1-338")</f>
        <v>V-1-338</v>
      </c>
      <c r="B493" t="str">
        <f ca="1">IFERROR(__xludf.DUMMYFUNCTION("""COMPUTED_VALUE"""),"Московкин")</f>
        <v>Московкин</v>
      </c>
      <c r="C493" t="str">
        <f ca="1">IFERROR(__xludf.DUMMYFUNCTION("""COMPUTED_VALUE"""),"Алексей")</f>
        <v>Алексей</v>
      </c>
      <c r="D493" t="str">
        <f ca="1">IFERROR(__xludf.DUMMYFUNCTION("""COMPUTED_VALUE"""),"Школа 625")</f>
        <v>Школа 625</v>
      </c>
      <c r="E493" s="5"/>
      <c r="F493" s="5"/>
      <c r="G493" s="5"/>
      <c r="H493" s="5"/>
      <c r="I493" s="5"/>
      <c r="J493" s="5"/>
      <c r="K493" s="5"/>
      <c r="L493" s="5"/>
      <c r="M493">
        <f ca="1">IFERROR(__xludf.DUMMYFUNCTION("""COMPUTED_VALUE"""),0)</f>
        <v>0</v>
      </c>
      <c r="N493" s="8"/>
    </row>
    <row r="494" spans="1:14" ht="12.45" hidden="1">
      <c r="A494" t="str">
        <f ca="1">IFERROR(__xludf.DUMMYFUNCTION("""COMPUTED_VALUE"""),"V-1-427")</f>
        <v>V-1-427</v>
      </c>
      <c r="B494" t="str">
        <f ca="1">IFERROR(__xludf.DUMMYFUNCTION("""COMPUTED_VALUE"""),"Путятин")</f>
        <v>Путятин</v>
      </c>
      <c r="C494" t="str">
        <f ca="1">IFERROR(__xludf.DUMMYFUNCTION("""COMPUTED_VALUE"""),"Григоий")</f>
        <v>Григоий</v>
      </c>
      <c r="D494" t="str">
        <f ca="1">IFERROR(__xludf.DUMMYFUNCTION("""COMPUTED_VALUE"""),"Школа 625")</f>
        <v>Школа 625</v>
      </c>
      <c r="E494" s="5"/>
      <c r="F494" s="5"/>
      <c r="G494" s="5"/>
      <c r="H494" s="5"/>
      <c r="I494" s="5"/>
      <c r="J494" s="5"/>
      <c r="K494" s="5"/>
      <c r="L494" s="5"/>
      <c r="M494">
        <f ca="1">IFERROR(__xludf.DUMMYFUNCTION("""COMPUTED_VALUE"""),0)</f>
        <v>0</v>
      </c>
      <c r="N494" s="8"/>
    </row>
    <row r="495" spans="1:14" ht="12.45" hidden="1">
      <c r="A495" t="str">
        <f ca="1">IFERROR(__xludf.DUMMYFUNCTION("""COMPUTED_VALUE"""),"III-1-261")</f>
        <v>III-1-261</v>
      </c>
      <c r="B495" t="str">
        <f ca="1">IFERROR(__xludf.DUMMYFUNCTION("""COMPUTED_VALUE"""),"Котов")</f>
        <v>Котов</v>
      </c>
      <c r="C495" t="str">
        <f ca="1">IFERROR(__xludf.DUMMYFUNCTION("""COMPUTED_VALUE"""),"Лев")</f>
        <v>Лев</v>
      </c>
      <c r="D495" t="str">
        <f ca="1">IFERROR(__xludf.DUMMYFUNCTION("""COMPUTED_VALUE"""),"Школа 191")</f>
        <v>Школа 191</v>
      </c>
      <c r="E495" s="5"/>
      <c r="F495" s="5"/>
      <c r="G495" s="5"/>
      <c r="H495" s="5"/>
      <c r="I495" s="5"/>
      <c r="J495" s="5"/>
      <c r="K495" s="5"/>
      <c r="L495" s="5"/>
      <c r="M495">
        <f ca="1">IFERROR(__xludf.DUMMYFUNCTION("""COMPUTED_VALUE"""),0)</f>
        <v>0</v>
      </c>
      <c r="N495" s="8"/>
    </row>
    <row r="496" spans="1:14" ht="12.45" hidden="1">
      <c r="A496" t="str">
        <f ca="1">IFERROR(__xludf.DUMMYFUNCTION("""COMPUTED_VALUE"""),"III-1-006")</f>
        <v>III-1-006</v>
      </c>
      <c r="B496" t="str">
        <f ca="1">IFERROR(__xludf.DUMMYFUNCTION("""COMPUTED_VALUE"""),"Агапова")</f>
        <v>Агапова</v>
      </c>
      <c r="C496" t="str">
        <f ca="1">IFERROR(__xludf.DUMMYFUNCTION("""COMPUTED_VALUE"""),"Ульяна")</f>
        <v>Ульяна</v>
      </c>
      <c r="D496" t="str">
        <f ca="1">IFERROR(__xludf.DUMMYFUNCTION("""COMPUTED_VALUE"""),"Лицей 470")</f>
        <v>Лицей 470</v>
      </c>
      <c r="E496" s="5"/>
      <c r="F496" s="5"/>
      <c r="G496" s="5"/>
      <c r="H496" s="5"/>
      <c r="I496" s="5"/>
      <c r="J496" s="5"/>
      <c r="K496" s="5"/>
      <c r="L496" s="5"/>
      <c r="M496">
        <f ca="1">IFERROR(__xludf.DUMMYFUNCTION("""COMPUTED_VALUE"""),0)</f>
        <v>0</v>
      </c>
      <c r="N496" s="8"/>
    </row>
    <row r="497" spans="1:14" ht="12.45" hidden="1">
      <c r="A497" t="str">
        <f ca="1">IFERROR(__xludf.DUMMYFUNCTION("""COMPUTED_VALUE"""),"III-1-088")</f>
        <v>III-1-088</v>
      </c>
      <c r="B497" t="str">
        <f ca="1">IFERROR(__xludf.DUMMYFUNCTION("""COMPUTED_VALUE"""),"Васильев")</f>
        <v>Васильев</v>
      </c>
      <c r="C497" t="str">
        <f ca="1">IFERROR(__xludf.DUMMYFUNCTION("""COMPUTED_VALUE"""),"Елисей")</f>
        <v>Елисей</v>
      </c>
      <c r="D497" t="str">
        <f ca="1">IFERROR(__xludf.DUMMYFUNCTION("""COMPUTED_VALUE"""),"Школа 524")</f>
        <v>Школа 524</v>
      </c>
      <c r="E497" s="5"/>
      <c r="F497" s="5"/>
      <c r="G497" s="5"/>
      <c r="H497" s="5"/>
      <c r="I497" s="5"/>
      <c r="J497" s="5"/>
      <c r="K497" s="5"/>
      <c r="L497" s="5"/>
      <c r="M497">
        <f ca="1">IFERROR(__xludf.DUMMYFUNCTION("""COMPUTED_VALUE"""),0)</f>
        <v>0</v>
      </c>
      <c r="N497" s="8"/>
    </row>
    <row r="498" spans="1:14" ht="12.45" hidden="1">
      <c r="A498" t="str">
        <f ca="1">IFERROR(__xludf.DUMMYFUNCTION("""COMPUTED_VALUE"""),"V-1-333")</f>
        <v>V-1-333</v>
      </c>
      <c r="B498" t="str">
        <f ca="1">IFERROR(__xludf.DUMMYFUNCTION("""COMPUTED_VALUE"""),"Михалев")</f>
        <v>Михалев</v>
      </c>
      <c r="C498" t="str">
        <f ca="1">IFERROR(__xludf.DUMMYFUNCTION("""COMPUTED_VALUE"""),"Максим")</f>
        <v>Максим</v>
      </c>
      <c r="D498" t="str">
        <f ca="1">IFERROR(__xludf.DUMMYFUNCTION("""COMPUTED_VALUE"""),"Лицей 366")</f>
        <v>Лицей 366</v>
      </c>
      <c r="E498" s="5"/>
      <c r="F498" s="5"/>
      <c r="G498" s="5"/>
      <c r="H498" s="5"/>
      <c r="I498" s="5"/>
      <c r="J498" s="5"/>
      <c r="K498" s="5"/>
      <c r="L498" s="5"/>
      <c r="M498">
        <f ca="1">IFERROR(__xludf.DUMMYFUNCTION("""COMPUTED_VALUE"""),0)</f>
        <v>0</v>
      </c>
      <c r="N498" s="8"/>
    </row>
    <row r="499" spans="1:14" ht="12.45" hidden="1">
      <c r="A499" t="str">
        <f ca="1">IFERROR(__xludf.DUMMYFUNCTION("""COMPUTED_VALUE"""),"V-1-593")</f>
        <v>V-1-593</v>
      </c>
      <c r="B499" t="str">
        <f ca="1">IFERROR(__xludf.DUMMYFUNCTION("""COMPUTED_VALUE"""),"Шевченко")</f>
        <v>Шевченко</v>
      </c>
      <c r="C499" t="str">
        <f ca="1">IFERROR(__xludf.DUMMYFUNCTION("""COMPUTED_VALUE"""),"Екатерина")</f>
        <v>Екатерина</v>
      </c>
      <c r="D499" t="str">
        <f ca="1">IFERROR(__xludf.DUMMYFUNCTION("""COMPUTED_VALUE"""),"Гимназия 24 имени Крылова")</f>
        <v>Гимназия 24 имени Крылова</v>
      </c>
      <c r="E499" s="5"/>
      <c r="F499" s="5"/>
      <c r="G499" s="5"/>
      <c r="H499" s="5"/>
      <c r="I499" s="5"/>
      <c r="J499" s="5"/>
      <c r="K499" s="5"/>
      <c r="L499" s="5"/>
      <c r="M499">
        <f ca="1">IFERROR(__xludf.DUMMYFUNCTION("""COMPUTED_VALUE"""),0)</f>
        <v>0</v>
      </c>
      <c r="N499" s="8"/>
    </row>
    <row r="500" spans="1:14" ht="12.45" hidden="1">
      <c r="A500" t="str">
        <f ca="1">IFERROR(__xludf.DUMMYFUNCTION("""COMPUTED_VALUE"""),"V-1-347")</f>
        <v>V-1-347</v>
      </c>
      <c r="B500" t="str">
        <f ca="1">IFERROR(__xludf.DUMMYFUNCTION("""COMPUTED_VALUE"""),"Мячин")</f>
        <v>Мячин</v>
      </c>
      <c r="C500" t="str">
        <f ca="1">IFERROR(__xludf.DUMMYFUNCTION("""COMPUTED_VALUE"""),"Алексей")</f>
        <v>Алексей</v>
      </c>
      <c r="D500" t="str">
        <f ca="1">IFERROR(__xludf.DUMMYFUNCTION("""COMPUTED_VALUE"""),"Лицей 378")</f>
        <v>Лицей 378</v>
      </c>
      <c r="E500" s="5"/>
      <c r="F500" s="5"/>
      <c r="G500" s="5"/>
      <c r="H500" s="5"/>
      <c r="I500" s="5"/>
      <c r="J500" s="5"/>
      <c r="K500" s="5"/>
      <c r="L500" s="5"/>
      <c r="M500">
        <f ca="1">IFERROR(__xludf.DUMMYFUNCTION("""COMPUTED_VALUE"""),0)</f>
        <v>0</v>
      </c>
      <c r="N500" s="8"/>
    </row>
    <row r="501" spans="1:14" ht="12.45" hidden="1">
      <c r="A501" t="str">
        <f ca="1">IFERROR(__xludf.DUMMYFUNCTION("""COMPUTED_VALUE"""),"V-1-496")</f>
        <v>V-1-496</v>
      </c>
      <c r="B501" t="str">
        <f ca="1">IFERROR(__xludf.DUMMYFUNCTION("""COMPUTED_VALUE"""),"Степанов")</f>
        <v>Степанов</v>
      </c>
      <c r="C501" t="str">
        <f ca="1">IFERROR(__xludf.DUMMYFUNCTION("""COMPUTED_VALUE"""),"Денис")</f>
        <v>Денис</v>
      </c>
      <c r="D501" t="str">
        <f ca="1">IFERROR(__xludf.DUMMYFUNCTION("""COMPUTED_VALUE"""),"Лицей 378")</f>
        <v>Лицей 378</v>
      </c>
      <c r="E501" s="5"/>
      <c r="F501" s="5"/>
      <c r="G501" s="5"/>
      <c r="H501" s="5"/>
      <c r="I501" s="5"/>
      <c r="J501" s="5"/>
      <c r="K501" s="5"/>
      <c r="L501" s="5"/>
      <c r="M501">
        <f ca="1">IFERROR(__xludf.DUMMYFUNCTION("""COMPUTED_VALUE"""),0)</f>
        <v>0</v>
      </c>
      <c r="N501" s="8"/>
    </row>
    <row r="502" spans="1:14" ht="12.45" hidden="1">
      <c r="A502" t="str">
        <f ca="1">IFERROR(__xludf.DUMMYFUNCTION("""COMPUTED_VALUE"""),"III-1-110")</f>
        <v>III-1-110</v>
      </c>
      <c r="B502" t="str">
        <f ca="1">IFERROR(__xludf.DUMMYFUNCTION("""COMPUTED_VALUE"""),"Выгодский")</f>
        <v>Выгодский</v>
      </c>
      <c r="C502" t="str">
        <f ca="1">IFERROR(__xludf.DUMMYFUNCTION("""COMPUTED_VALUE"""),"Дмитрий")</f>
        <v>Дмитрий</v>
      </c>
      <c r="D502" t="str">
        <f ca="1">IFERROR(__xludf.DUMMYFUNCTION("""COMPUTED_VALUE"""),"Школа ЦОДИВ")</f>
        <v>Школа ЦОДИВ</v>
      </c>
      <c r="E502" s="5"/>
      <c r="F502" s="5"/>
      <c r="G502" s="5"/>
      <c r="H502" s="5"/>
      <c r="I502" s="5"/>
      <c r="J502" s="5"/>
      <c r="K502" s="5"/>
      <c r="L502" s="5"/>
      <c r="M502">
        <f ca="1">IFERROR(__xludf.DUMMYFUNCTION("""COMPUTED_VALUE"""),0)</f>
        <v>0</v>
      </c>
      <c r="N502" s="8"/>
    </row>
    <row r="503" spans="1:14" ht="12.45" hidden="1">
      <c r="A503" t="str">
        <f ca="1">IFERROR(__xludf.DUMMYFUNCTION("""COMPUTED_VALUE"""),"III-1-215")</f>
        <v>III-1-215</v>
      </c>
      <c r="B503" t="str">
        <f ca="1">IFERROR(__xludf.DUMMYFUNCTION("""COMPUTED_VALUE"""),"Каморник")</f>
        <v>Каморник</v>
      </c>
      <c r="C503" t="str">
        <f ca="1">IFERROR(__xludf.DUMMYFUNCTION("""COMPUTED_VALUE"""),"Мирослава")</f>
        <v>Мирослава</v>
      </c>
      <c r="D503" t="str">
        <f ca="1">IFERROR(__xludf.DUMMYFUNCTION("""COMPUTED_VALUE"""),"Школа 324")</f>
        <v>Школа 324</v>
      </c>
      <c r="E503" s="5"/>
      <c r="F503" s="5"/>
      <c r="G503" s="5"/>
      <c r="H503" s="5"/>
      <c r="I503" s="5"/>
      <c r="J503" s="5"/>
      <c r="K503" s="5"/>
      <c r="L503" s="5"/>
      <c r="M503">
        <f ca="1">IFERROR(__xludf.DUMMYFUNCTION("""COMPUTED_VALUE"""),0)</f>
        <v>0</v>
      </c>
      <c r="N503" s="8"/>
    </row>
    <row r="504" spans="1:14" ht="12.45" hidden="1">
      <c r="A504" t="str">
        <f ca="1">IFERROR(__xludf.DUMMYFUNCTION("""COMPUTED_VALUE"""),"III-1-286")</f>
        <v>III-1-286</v>
      </c>
      <c r="B504" t="str">
        <f ca="1">IFERROR(__xludf.DUMMYFUNCTION("""COMPUTED_VALUE"""),"Ларионов")</f>
        <v>Ларионов</v>
      </c>
      <c r="C504" t="str">
        <f ca="1">IFERROR(__xludf.DUMMYFUNCTION("""COMPUTED_VALUE"""),"Дмитрий")</f>
        <v>Дмитрий</v>
      </c>
      <c r="D504" t="str">
        <f ca="1">IFERROR(__xludf.DUMMYFUNCTION("""COMPUTED_VALUE"""),"Лицей 366")</f>
        <v>Лицей 366</v>
      </c>
      <c r="E504" s="5"/>
      <c r="F504" s="5"/>
      <c r="G504" s="5"/>
      <c r="H504" s="5"/>
      <c r="I504" s="5"/>
      <c r="J504" s="5"/>
      <c r="K504" s="5"/>
      <c r="L504" s="5"/>
      <c r="M504">
        <f ca="1">IFERROR(__xludf.DUMMYFUNCTION("""COMPUTED_VALUE"""),0)</f>
        <v>0</v>
      </c>
      <c r="N504" s="8"/>
    </row>
    <row r="505" spans="1:14" ht="12.45" hidden="1">
      <c r="A505" t="str">
        <f ca="1">IFERROR(__xludf.DUMMYFUNCTION("""COMPUTED_VALUE"""),"V-1-561")</f>
        <v>V-1-561</v>
      </c>
      <c r="B505" t="str">
        <f ca="1">IFERROR(__xludf.DUMMYFUNCTION("""COMPUTED_VALUE"""),"Хальфина")</f>
        <v>Хальфина</v>
      </c>
      <c r="C505" t="str">
        <f ca="1">IFERROR(__xludf.DUMMYFUNCTION("""COMPUTED_VALUE"""),"Кристина")</f>
        <v>Кристина</v>
      </c>
      <c r="D505" t="str">
        <f ca="1">IFERROR(__xludf.DUMMYFUNCTION("""COMPUTED_VALUE"""),"Лицей 366")</f>
        <v>Лицей 366</v>
      </c>
      <c r="E505" s="5"/>
      <c r="F505" s="5"/>
      <c r="G505" s="5"/>
      <c r="H505" s="5"/>
      <c r="I505" s="5"/>
      <c r="J505" s="5"/>
      <c r="K505" s="5"/>
      <c r="L505" s="5"/>
      <c r="M505">
        <f ca="1">IFERROR(__xludf.DUMMYFUNCTION("""COMPUTED_VALUE"""),0)</f>
        <v>0</v>
      </c>
      <c r="N505" s="8"/>
    </row>
    <row r="506" spans="1:14" ht="12.45" hidden="1">
      <c r="A506" t="str">
        <f ca="1">IFERROR(__xludf.DUMMYFUNCTION("""COMPUTED_VALUE"""),"V-1-494")</f>
        <v>V-1-494</v>
      </c>
      <c r="B506" t="str">
        <f ca="1">IFERROR(__xludf.DUMMYFUNCTION("""COMPUTED_VALUE"""),"Стафурин")</f>
        <v>Стафурин</v>
      </c>
      <c r="C506" t="str">
        <f ca="1">IFERROR(__xludf.DUMMYFUNCTION("""COMPUTED_VALUE"""),"Георгий")</f>
        <v>Георгий</v>
      </c>
      <c r="D506" t="str">
        <f ca="1">IFERROR(__xludf.DUMMYFUNCTION("""COMPUTED_VALUE"""),"Гимназия 295")</f>
        <v>Гимназия 295</v>
      </c>
      <c r="E506" s="5"/>
      <c r="F506" s="5"/>
      <c r="G506" s="5"/>
      <c r="H506" s="5"/>
      <c r="I506" s="5"/>
      <c r="J506" s="5"/>
      <c r="K506" s="5"/>
      <c r="L506" s="5"/>
      <c r="M506">
        <f ca="1">IFERROR(__xludf.DUMMYFUNCTION("""COMPUTED_VALUE"""),0)</f>
        <v>0</v>
      </c>
      <c r="N506" s="8"/>
    </row>
    <row r="507" spans="1:14" ht="12.45" hidden="1">
      <c r="A507" t="str">
        <f ca="1">IFERROR(__xludf.DUMMYFUNCTION("""COMPUTED_VALUE"""),"V-1-553")</f>
        <v>V-1-553</v>
      </c>
      <c r="B507" t="str">
        <f ca="1">IFERROR(__xludf.DUMMYFUNCTION("""COMPUTED_VALUE"""),"Фомина")</f>
        <v>Фомина</v>
      </c>
      <c r="C507" t="str">
        <f ca="1">IFERROR(__xludf.DUMMYFUNCTION("""COMPUTED_VALUE"""),"Ольга")</f>
        <v>Ольга</v>
      </c>
      <c r="D507" t="str">
        <f ca="1">IFERROR(__xludf.DUMMYFUNCTION("""COMPUTED_VALUE"""),"Гимназия 295")</f>
        <v>Гимназия 295</v>
      </c>
      <c r="E507" s="5"/>
      <c r="F507" s="5"/>
      <c r="G507" s="5"/>
      <c r="H507" s="5"/>
      <c r="I507" s="5"/>
      <c r="J507" s="5"/>
      <c r="K507" s="5"/>
      <c r="L507" s="5"/>
      <c r="M507">
        <f ca="1">IFERROR(__xludf.DUMMYFUNCTION("""COMPUTED_VALUE"""),0)</f>
        <v>0</v>
      </c>
      <c r="N507" s="8"/>
    </row>
    <row r="508" spans="1:14" ht="12.45" hidden="1">
      <c r="A508" t="str">
        <f ca="1">IFERROR(__xludf.DUMMYFUNCTION("""COMPUTED_VALUE"""),"III-1-238")</f>
        <v>III-1-238</v>
      </c>
      <c r="B508" t="str">
        <f ca="1">IFERROR(__xludf.DUMMYFUNCTION("""COMPUTED_VALUE"""),"Коваль")</f>
        <v>Коваль</v>
      </c>
      <c r="C508" t="str">
        <f ca="1">IFERROR(__xludf.DUMMYFUNCTION("""COMPUTED_VALUE"""),"Алиса")</f>
        <v>Алиса</v>
      </c>
      <c r="D508" t="str">
        <f ca="1">IFERROR(__xludf.DUMMYFUNCTION("""COMPUTED_VALUE"""),"Гимназия 148")</f>
        <v>Гимназия 148</v>
      </c>
      <c r="E508" s="5"/>
      <c r="F508" s="5"/>
      <c r="G508" s="5"/>
      <c r="H508" s="5"/>
      <c r="I508" s="5"/>
      <c r="J508" s="5"/>
      <c r="K508" s="5"/>
      <c r="L508" s="5"/>
      <c r="M508">
        <f ca="1">IFERROR(__xludf.DUMMYFUNCTION("""COMPUTED_VALUE"""),0)</f>
        <v>0</v>
      </c>
      <c r="N508" s="8"/>
    </row>
    <row r="509" spans="1:14" ht="12.45" hidden="1">
      <c r="A509" t="str">
        <f ca="1">IFERROR(__xludf.DUMMYFUNCTION("""COMPUTED_VALUE"""),"III-1-054")</f>
        <v>III-1-054</v>
      </c>
      <c r="B509" t="str">
        <f ca="1">IFERROR(__xludf.DUMMYFUNCTION("""COMPUTED_VALUE"""),"Белов")</f>
        <v>Белов</v>
      </c>
      <c r="C509" t="str">
        <f ca="1">IFERROR(__xludf.DUMMYFUNCTION("""COMPUTED_VALUE"""),"Денис")</f>
        <v>Денис</v>
      </c>
      <c r="D509" t="str">
        <f ca="1">IFERROR(__xludf.DUMMYFUNCTION("""COMPUTED_VALUE"""),"Лицей 29")</f>
        <v>Лицей 29</v>
      </c>
      <c r="E509" s="5"/>
      <c r="F509" s="5"/>
      <c r="G509" s="5"/>
      <c r="H509" s="5"/>
      <c r="I509" s="5"/>
      <c r="J509" s="5"/>
      <c r="K509" s="5"/>
      <c r="L509" s="5"/>
      <c r="M509">
        <f ca="1">IFERROR(__xludf.DUMMYFUNCTION("""COMPUTED_VALUE"""),0)</f>
        <v>0</v>
      </c>
      <c r="N509" s="8"/>
    </row>
    <row r="510" spans="1:14" ht="12.45" hidden="1">
      <c r="A510" t="str">
        <f ca="1">IFERROR(__xludf.DUMMYFUNCTION("""COMPUTED_VALUE"""),"III-1-154")</f>
        <v>III-1-154</v>
      </c>
      <c r="B510" t="str">
        <f ca="1">IFERROR(__xludf.DUMMYFUNCTION("""COMPUTED_VALUE"""),"Даровина")</f>
        <v>Даровина</v>
      </c>
      <c r="C510" t="str">
        <f ca="1">IFERROR(__xludf.DUMMYFUNCTION("""COMPUTED_VALUE"""),"Мария")</f>
        <v>Мария</v>
      </c>
      <c r="D510" t="str">
        <f ca="1">IFERROR(__xludf.DUMMYFUNCTION("""COMPUTED_VALUE"""),"Лицей 29")</f>
        <v>Лицей 29</v>
      </c>
      <c r="E510" s="5"/>
      <c r="F510" s="5"/>
      <c r="G510" s="5"/>
      <c r="H510" s="5"/>
      <c r="I510" s="5"/>
      <c r="J510" s="5"/>
      <c r="K510" s="5"/>
      <c r="L510" s="5"/>
      <c r="M510">
        <f ca="1">IFERROR(__xludf.DUMMYFUNCTION("""COMPUTED_VALUE"""),0)</f>
        <v>0</v>
      </c>
      <c r="N510" s="8"/>
    </row>
    <row r="511" spans="1:14" ht="12.45" hidden="1">
      <c r="A511" t="str">
        <f ca="1">IFERROR(__xludf.DUMMYFUNCTION("""COMPUTED_VALUE"""),"V-1-313")</f>
        <v>V-1-313</v>
      </c>
      <c r="B511" t="str">
        <f ca="1">IFERROR(__xludf.DUMMYFUNCTION("""COMPUTED_VALUE"""),"Малюшин")</f>
        <v>Малюшин</v>
      </c>
      <c r="C511" t="str">
        <f ca="1">IFERROR(__xludf.DUMMYFUNCTION("""COMPUTED_VALUE"""),"Вячеслав")</f>
        <v>Вячеслав</v>
      </c>
      <c r="D511" t="str">
        <f ca="1">IFERROR(__xludf.DUMMYFUNCTION("""COMPUTED_VALUE"""),"Лицей 29")</f>
        <v>Лицей 29</v>
      </c>
      <c r="E511" s="5"/>
      <c r="F511" s="5"/>
      <c r="G511" s="5"/>
      <c r="H511" s="5"/>
      <c r="I511" s="5"/>
      <c r="J511" s="5"/>
      <c r="K511" s="5"/>
      <c r="L511" s="5"/>
      <c r="M511">
        <f ca="1">IFERROR(__xludf.DUMMYFUNCTION("""COMPUTED_VALUE"""),0)</f>
        <v>0</v>
      </c>
      <c r="N511" s="8"/>
    </row>
    <row r="512" spans="1:14" ht="12.45" hidden="1">
      <c r="A512" t="str">
        <f ca="1">IFERROR(__xludf.DUMMYFUNCTION("""COMPUTED_VALUE"""),"V-1-463")</f>
        <v>V-1-463</v>
      </c>
      <c r="B512" t="str">
        <f ca="1">IFERROR(__xludf.DUMMYFUNCTION("""COMPUTED_VALUE"""),"Семенов")</f>
        <v>Семенов</v>
      </c>
      <c r="C512" t="str">
        <f ca="1">IFERROR(__xludf.DUMMYFUNCTION("""COMPUTED_VALUE"""),"Макар")</f>
        <v>Макар</v>
      </c>
      <c r="D512" t="str">
        <f ca="1">IFERROR(__xludf.DUMMYFUNCTION("""COMPUTED_VALUE"""),"Лицей МБОУ ЭМЛи 29")</f>
        <v>Лицей МБОУ ЭМЛи 29</v>
      </c>
      <c r="E512" s="5"/>
      <c r="F512" s="5"/>
      <c r="G512" s="5"/>
      <c r="H512" s="5"/>
      <c r="I512" s="5"/>
      <c r="J512" s="5"/>
      <c r="K512" s="5"/>
      <c r="L512" s="5"/>
      <c r="M512">
        <f ca="1">IFERROR(__xludf.DUMMYFUNCTION("""COMPUTED_VALUE"""),0)</f>
        <v>0</v>
      </c>
      <c r="N512" s="8"/>
    </row>
    <row r="513" spans="1:14" ht="12.45" hidden="1">
      <c r="A513" t="str">
        <f ca="1">IFERROR(__xludf.DUMMYFUNCTION("""COMPUTED_VALUE"""),"V-1-482")</f>
        <v>V-1-482</v>
      </c>
      <c r="B513" t="str">
        <f ca="1">IFERROR(__xludf.DUMMYFUNCTION("""COMPUTED_VALUE"""),"Соловьев")</f>
        <v>Соловьев</v>
      </c>
      <c r="C513" t="str">
        <f ca="1">IFERROR(__xludf.DUMMYFUNCTION("""COMPUTED_VALUE"""),"Никита")</f>
        <v>Никита</v>
      </c>
      <c r="D513" t="str">
        <f ca="1">IFERROR(__xludf.DUMMYFUNCTION("""COMPUTED_VALUE"""),"Лицей 30")</f>
        <v>Лицей 30</v>
      </c>
      <c r="E513" s="5"/>
      <c r="F513" s="5"/>
      <c r="G513" s="5"/>
      <c r="H513" s="5"/>
      <c r="I513" s="5"/>
      <c r="J513" s="5"/>
      <c r="K513" s="5"/>
      <c r="L513" s="5"/>
      <c r="M513">
        <f ca="1">IFERROR(__xludf.DUMMYFUNCTION("""COMPUTED_VALUE"""),0)</f>
        <v>0</v>
      </c>
      <c r="N513" s="8"/>
    </row>
    <row r="514" spans="1:14" ht="12.45" hidden="1">
      <c r="A514" t="str">
        <f ca="1">IFERROR(__xludf.DUMMYFUNCTION("""COMPUTED_VALUE"""),"V-1-596")</f>
        <v>V-1-596</v>
      </c>
      <c r="B514" t="str">
        <f ca="1">IFERROR(__xludf.DUMMYFUNCTION("""COMPUTED_VALUE"""),"Шиляева")</f>
        <v>Шиляева</v>
      </c>
      <c r="C514" t="str">
        <f ca="1">IFERROR(__xludf.DUMMYFUNCTION("""COMPUTED_VALUE"""),"Анна")</f>
        <v>Анна</v>
      </c>
      <c r="D514" t="str">
        <f ca="1">IFERROR(__xludf.DUMMYFUNCTION("""COMPUTED_VALUE"""),"Лицей Эмли 29")</f>
        <v>Лицей Эмли 29</v>
      </c>
      <c r="E514" s="5"/>
      <c r="F514" s="5"/>
      <c r="G514" s="5"/>
      <c r="H514" s="5"/>
      <c r="I514" s="5"/>
      <c r="J514" s="5"/>
      <c r="K514" s="5"/>
      <c r="L514" s="5"/>
      <c r="M514">
        <f ca="1">IFERROR(__xludf.DUMMYFUNCTION("""COMPUTED_VALUE"""),0)</f>
        <v>0</v>
      </c>
      <c r="N514" s="8"/>
    </row>
    <row r="515" spans="1:14" ht="12.45" hidden="1">
      <c r="A515" t="str">
        <f ca="1">IFERROR(__xludf.DUMMYFUNCTION("""COMPUTED_VALUE"""),"V-1-371")</f>
        <v>V-1-371</v>
      </c>
      <c r="B515" t="str">
        <f ca="1">IFERROR(__xludf.DUMMYFUNCTION("""COMPUTED_VALUE"""),"Окружнова")</f>
        <v>Окружнова</v>
      </c>
      <c r="C515" t="str">
        <f ca="1">IFERROR(__xludf.DUMMYFUNCTION("""COMPUTED_VALUE"""),"Анна")</f>
        <v>Анна</v>
      </c>
      <c r="D515" t="str">
        <f ca="1">IFERROR(__xludf.DUMMYFUNCTION("""COMPUTED_VALUE"""),"Гимназия 586")</f>
        <v>Гимназия 586</v>
      </c>
      <c r="E515" s="5"/>
      <c r="F515" s="5"/>
      <c r="G515" s="5"/>
      <c r="H515" s="5"/>
      <c r="I515" s="5"/>
      <c r="J515" s="5"/>
      <c r="K515" s="5"/>
      <c r="L515" s="5"/>
      <c r="M515">
        <f ca="1">IFERROR(__xludf.DUMMYFUNCTION("""COMPUTED_VALUE"""),0)</f>
        <v>0</v>
      </c>
      <c r="N515" s="8"/>
    </row>
    <row r="516" spans="1:14" ht="12.45" hidden="1">
      <c r="A516" t="str">
        <f ca="1">IFERROR(__xludf.DUMMYFUNCTION("""COMPUTED_VALUE"""),"V-1-474")</f>
        <v>V-1-474</v>
      </c>
      <c r="B516" t="str">
        <f ca="1">IFERROR(__xludf.DUMMYFUNCTION("""COMPUTED_VALUE"""),"Ситник")</f>
        <v>Ситник</v>
      </c>
      <c r="C516" t="str">
        <f ca="1">IFERROR(__xludf.DUMMYFUNCTION("""COMPUTED_VALUE"""),"Иван")</f>
        <v>Иван</v>
      </c>
      <c r="D516" t="str">
        <f ca="1">IFERROR(__xludf.DUMMYFUNCTION("""COMPUTED_VALUE"""),"Лицей 369")</f>
        <v>Лицей 369</v>
      </c>
      <c r="E516" s="5"/>
      <c r="F516" s="5"/>
      <c r="G516" s="5"/>
      <c r="H516" s="5"/>
      <c r="I516" s="5"/>
      <c r="J516" s="5"/>
      <c r="K516" s="5"/>
      <c r="L516" s="5"/>
      <c r="M516">
        <f ca="1">IFERROR(__xludf.DUMMYFUNCTION("""COMPUTED_VALUE"""),0)</f>
        <v>0</v>
      </c>
      <c r="N516" s="8"/>
    </row>
    <row r="517" spans="1:14" ht="12.45" hidden="1">
      <c r="A517" t="str">
        <f ca="1">IFERROR(__xludf.DUMMYFUNCTION("""COMPUTED_VALUE"""),"V-1-500")</f>
        <v>V-1-500</v>
      </c>
      <c r="B517" t="str">
        <f ca="1">IFERROR(__xludf.DUMMYFUNCTION("""COMPUTED_VALUE"""),"Суворин")</f>
        <v>Суворин</v>
      </c>
      <c r="C517" t="str">
        <f ca="1">IFERROR(__xludf.DUMMYFUNCTION("""COMPUTED_VALUE"""),"Ярослав")</f>
        <v>Ярослав</v>
      </c>
      <c r="D517" t="str">
        <f ca="1">IFERROR(__xludf.DUMMYFUNCTION("""COMPUTED_VALUE"""),"Школа 655")</f>
        <v>Школа 655</v>
      </c>
      <c r="E517" s="5"/>
      <c r="F517" s="5"/>
      <c r="G517" s="5"/>
      <c r="H517" s="5"/>
      <c r="I517" s="5"/>
      <c r="J517" s="5"/>
      <c r="K517" s="5"/>
      <c r="L517" s="5"/>
      <c r="M517">
        <f ca="1">IFERROR(__xludf.DUMMYFUNCTION("""COMPUTED_VALUE"""),0)</f>
        <v>0</v>
      </c>
      <c r="N517" s="8"/>
    </row>
    <row r="518" spans="1:14" ht="12.45" hidden="1">
      <c r="A518" t="str">
        <f ca="1">IFERROR(__xludf.DUMMYFUNCTION("""COMPUTED_VALUE"""),"V-1-385")</f>
        <v>V-1-385</v>
      </c>
      <c r="B518" t="str">
        <f ca="1">IFERROR(__xludf.DUMMYFUNCTION("""COMPUTED_VALUE"""),"Паламарчук")</f>
        <v>Паламарчук</v>
      </c>
      <c r="C518" t="str">
        <f ca="1">IFERROR(__xludf.DUMMYFUNCTION("""COMPUTED_VALUE"""),"Татьяна")</f>
        <v>Татьяна</v>
      </c>
      <c r="D518" t="str">
        <f ca="1">IFERROR(__xludf.DUMMYFUNCTION("""COMPUTED_VALUE"""),"Лицей 572")</f>
        <v>Лицей 572</v>
      </c>
      <c r="E518" s="5"/>
      <c r="F518" s="5"/>
      <c r="G518" s="5"/>
      <c r="H518" s="5"/>
      <c r="I518" s="5"/>
      <c r="J518" s="5"/>
      <c r="K518" s="5"/>
      <c r="L518" s="5"/>
      <c r="M518">
        <f ca="1">IFERROR(__xludf.DUMMYFUNCTION("""COMPUTED_VALUE"""),0)</f>
        <v>0</v>
      </c>
      <c r="N518" s="8"/>
    </row>
    <row r="519" spans="1:14" ht="12.45" hidden="1">
      <c r="A519" t="str">
        <f ca="1">IFERROR(__xludf.DUMMYFUNCTION("""COMPUTED_VALUE"""),"V-1-432")</f>
        <v>V-1-432</v>
      </c>
      <c r="B519" t="str">
        <f ca="1">IFERROR(__xludf.DUMMYFUNCTION("""COMPUTED_VALUE"""),"Ражков")</f>
        <v>Ражков</v>
      </c>
      <c r="C519" t="str">
        <f ca="1">IFERROR(__xludf.DUMMYFUNCTION("""COMPUTED_VALUE"""),"Константин")</f>
        <v>Константин</v>
      </c>
      <c r="D519" t="str">
        <f ca="1">IFERROR(__xludf.DUMMYFUNCTION("""COMPUTED_VALUE"""),"Лицей 533")</f>
        <v>Лицей 533</v>
      </c>
      <c r="E519" s="5"/>
      <c r="F519" s="5"/>
      <c r="G519" s="5"/>
      <c r="H519" s="5"/>
      <c r="I519" s="5"/>
      <c r="J519" s="5"/>
      <c r="K519" s="5"/>
      <c r="L519" s="5"/>
      <c r="M519">
        <f ca="1">IFERROR(__xludf.DUMMYFUNCTION("""COMPUTED_VALUE"""),0)</f>
        <v>0</v>
      </c>
      <c r="N519" s="8"/>
    </row>
    <row r="520" spans="1:14" ht="12.45" hidden="1">
      <c r="A520" t="str">
        <f ca="1">IFERROR(__xludf.DUMMYFUNCTION("""COMPUTED_VALUE"""),"III-1-205")</f>
        <v>III-1-205</v>
      </c>
      <c r="B520" t="str">
        <f ca="1">IFERROR(__xludf.DUMMYFUNCTION("""COMPUTED_VALUE"""),"Иванова")</f>
        <v>Иванова</v>
      </c>
      <c r="C520" t="str">
        <f ca="1">IFERROR(__xludf.DUMMYFUNCTION("""COMPUTED_VALUE"""),"Полина")</f>
        <v>Полина</v>
      </c>
      <c r="D520" t="str">
        <f ca="1">IFERROR(__xludf.DUMMYFUNCTION("""COMPUTED_VALUE"""),"Школа 485")</f>
        <v>Школа 485</v>
      </c>
      <c r="E520" s="5"/>
      <c r="F520" s="5"/>
      <c r="G520" s="5"/>
      <c r="H520" s="5"/>
      <c r="I520" s="5"/>
      <c r="J520" s="5"/>
      <c r="K520" s="5"/>
      <c r="L520" s="5"/>
      <c r="M520">
        <f ca="1">IFERROR(__xludf.DUMMYFUNCTION("""COMPUTED_VALUE"""),0)</f>
        <v>0</v>
      </c>
      <c r="N520" s="8"/>
    </row>
    <row r="521" spans="1:14" ht="12.45" hidden="1">
      <c r="A521" t="str">
        <f ca="1">IFERROR(__xludf.DUMMYFUNCTION("""COMPUTED_VALUE"""),"V-1-363")</f>
        <v>V-1-363</v>
      </c>
      <c r="B521" t="str">
        <f ca="1">IFERROR(__xludf.DUMMYFUNCTION("""COMPUTED_VALUE"""),"Носков")</f>
        <v>Носков</v>
      </c>
      <c r="C521" t="str">
        <f ca="1">IFERROR(__xludf.DUMMYFUNCTION("""COMPUTED_VALUE"""),"Егор")</f>
        <v>Егор</v>
      </c>
      <c r="D521" t="str">
        <f ca="1">IFERROR(__xludf.DUMMYFUNCTION("""COMPUTED_VALUE"""),"Лицей 597")</f>
        <v>Лицей 597</v>
      </c>
      <c r="E521" s="5"/>
      <c r="F521" s="5"/>
      <c r="G521" s="5"/>
      <c r="H521" s="5"/>
      <c r="I521" s="5"/>
      <c r="J521" s="5"/>
      <c r="K521" s="5"/>
      <c r="L521" s="5"/>
      <c r="M521">
        <f ca="1">IFERROR(__xludf.DUMMYFUNCTION("""COMPUTED_VALUE"""),0)</f>
        <v>0</v>
      </c>
      <c r="N521" s="8"/>
    </row>
    <row r="522" spans="1:14" ht="12.45" hidden="1">
      <c r="A522" t="str">
        <f ca="1">IFERROR(__xludf.DUMMYFUNCTION("""COMPUTED_VALUE"""),"V-1-399")</f>
        <v>V-1-399</v>
      </c>
      <c r="B522" t="str">
        <f ca="1">IFERROR(__xludf.DUMMYFUNCTION("""COMPUTED_VALUE"""),"Пирадов")</f>
        <v>Пирадов</v>
      </c>
      <c r="C522" t="str">
        <f ca="1">IFERROR(__xludf.DUMMYFUNCTION("""COMPUTED_VALUE"""),"Даниил")</f>
        <v>Даниил</v>
      </c>
      <c r="D522" t="str">
        <f ca="1">IFERROR(__xludf.DUMMYFUNCTION("""COMPUTED_VALUE"""),"Школа 468")</f>
        <v>Школа 468</v>
      </c>
      <c r="E522" s="5"/>
      <c r="F522" s="5"/>
      <c r="G522" s="5"/>
      <c r="H522" s="5"/>
      <c r="I522" s="5"/>
      <c r="J522" s="5"/>
      <c r="K522" s="5"/>
      <c r="L522" s="5"/>
      <c r="M522">
        <f ca="1">IFERROR(__xludf.DUMMYFUNCTION("""COMPUTED_VALUE"""),0)</f>
        <v>0</v>
      </c>
      <c r="N522" s="8"/>
    </row>
    <row r="523" spans="1:14" ht="12.45" hidden="1">
      <c r="A523" t="str">
        <f ca="1">IFERROR(__xludf.DUMMYFUNCTION("""COMPUTED_VALUE"""),"V-1-549")</f>
        <v>V-1-549</v>
      </c>
      <c r="B523" t="str">
        <f ca="1">IFERROR(__xludf.DUMMYFUNCTION("""COMPUTED_VALUE"""),"Филиппов")</f>
        <v>Филиппов</v>
      </c>
      <c r="C523" t="str">
        <f ca="1">IFERROR(__xludf.DUMMYFUNCTION("""COMPUTED_VALUE"""),"Артур")</f>
        <v>Артур</v>
      </c>
      <c r="D523" t="str">
        <f ca="1">IFERROR(__xludf.DUMMYFUNCTION("""COMPUTED_VALUE"""),"Школа 468")</f>
        <v>Школа 468</v>
      </c>
      <c r="E523" s="5"/>
      <c r="F523" s="5"/>
      <c r="G523" s="5"/>
      <c r="H523" s="5"/>
      <c r="I523" s="5"/>
      <c r="J523" s="5"/>
      <c r="K523" s="5"/>
      <c r="L523" s="5"/>
      <c r="M523">
        <f ca="1">IFERROR(__xludf.DUMMYFUNCTION("""COMPUTED_VALUE"""),0)</f>
        <v>0</v>
      </c>
      <c r="N523" s="8"/>
    </row>
    <row r="524" spans="1:14" ht="12.45" hidden="1">
      <c r="A524" t="str">
        <f ca="1">IFERROR(__xludf.DUMMYFUNCTION("""COMPUTED_VALUE"""),"III-1-016")</f>
        <v>III-1-016</v>
      </c>
      <c r="B524" t="str">
        <f ca="1">IFERROR(__xludf.DUMMYFUNCTION("""COMPUTED_VALUE"""),"Андреев")</f>
        <v>Андреев</v>
      </c>
      <c r="C524" t="str">
        <f ca="1">IFERROR(__xludf.DUMMYFUNCTION("""COMPUTED_VALUE"""),"Роберт")</f>
        <v>Роберт</v>
      </c>
      <c r="D524" t="str">
        <f ca="1">IFERROR(__xludf.DUMMYFUNCTION("""COMPUTED_VALUE"""),"Школа 4 им.Ж.И.Кусто")</f>
        <v>Школа 4 им.Ж.И.Кусто</v>
      </c>
      <c r="E524" s="5"/>
      <c r="F524" s="5"/>
      <c r="G524" s="5"/>
      <c r="H524" s="5"/>
      <c r="I524" s="5"/>
      <c r="J524" s="5"/>
      <c r="K524" s="5"/>
      <c r="L524" s="5"/>
      <c r="M524">
        <f ca="1">IFERROR(__xludf.DUMMYFUNCTION("""COMPUTED_VALUE"""),0)</f>
        <v>0</v>
      </c>
      <c r="N524" s="8"/>
    </row>
    <row r="525" spans="1:14" ht="12.45" hidden="1">
      <c r="A525" t="str">
        <f ca="1">IFERROR(__xludf.DUMMYFUNCTION("""COMPUTED_VALUE"""),"III-1-035")</f>
        <v>III-1-035</v>
      </c>
      <c r="B525" t="str">
        <f ca="1">IFERROR(__xludf.DUMMYFUNCTION("""COMPUTED_VALUE"""),"Бабенецкий")</f>
        <v>Бабенецкий</v>
      </c>
      <c r="C525" t="str">
        <f ca="1">IFERROR(__xludf.DUMMYFUNCTION("""COMPUTED_VALUE"""),"Дмитрий")</f>
        <v>Дмитрий</v>
      </c>
      <c r="D525" t="str">
        <f ca="1">IFERROR(__xludf.DUMMYFUNCTION("""COMPUTED_VALUE"""),"Гимназия 107")</f>
        <v>Гимназия 107</v>
      </c>
      <c r="E525" s="5"/>
      <c r="F525" s="5"/>
      <c r="G525" s="5"/>
      <c r="H525" s="5"/>
      <c r="I525" s="5"/>
      <c r="J525" s="5"/>
      <c r="K525" s="5"/>
      <c r="L525" s="5"/>
      <c r="M525">
        <f ca="1">IFERROR(__xludf.DUMMYFUNCTION("""COMPUTED_VALUE"""),0)</f>
        <v>0</v>
      </c>
      <c r="N525" s="8"/>
    </row>
    <row r="526" spans="1:14" ht="12.45" hidden="1">
      <c r="A526" t="str">
        <f ca="1">IFERROR(__xludf.DUMMYFUNCTION("""COMPUTED_VALUE"""),"III-1-178")</f>
        <v>III-1-178</v>
      </c>
      <c r="B526" t="str">
        <f ca="1">IFERROR(__xludf.DUMMYFUNCTION("""COMPUTED_VALUE"""),"Ерцкин")</f>
        <v>Ерцкин</v>
      </c>
      <c r="C526" t="str">
        <f ca="1">IFERROR(__xludf.DUMMYFUNCTION("""COMPUTED_VALUE"""),"Егор")</f>
        <v>Егор</v>
      </c>
      <c r="D526" t="str">
        <f ca="1">IFERROR(__xludf.DUMMYFUNCTION("""COMPUTED_VALUE"""),"Гимназия 107")</f>
        <v>Гимназия 107</v>
      </c>
      <c r="E526" s="5"/>
      <c r="F526" s="5"/>
      <c r="G526" s="5"/>
      <c r="H526" s="5"/>
      <c r="I526" s="5"/>
      <c r="J526" s="5"/>
      <c r="K526" s="5"/>
      <c r="L526" s="5"/>
      <c r="M526">
        <f ca="1">IFERROR(__xludf.DUMMYFUNCTION("""COMPUTED_VALUE"""),0)</f>
        <v>0</v>
      </c>
      <c r="N526" s="8"/>
    </row>
    <row r="527" spans="1:14" ht="12.45" hidden="1">
      <c r="A527" t="str">
        <f ca="1">IFERROR(__xludf.DUMMYFUNCTION("""COMPUTED_VALUE"""),"V-1-400")</f>
        <v>V-1-400</v>
      </c>
      <c r="B527" t="str">
        <f ca="1">IFERROR(__xludf.DUMMYFUNCTION("""COMPUTED_VALUE"""),"Пирожникова")</f>
        <v>Пирожникова</v>
      </c>
      <c r="C527" t="str">
        <f ca="1">IFERROR(__xludf.DUMMYFUNCTION("""COMPUTED_VALUE"""),"Ксения")</f>
        <v>Ксения</v>
      </c>
      <c r="D527" t="str">
        <f ca="1">IFERROR(__xludf.DUMMYFUNCTION("""COMPUTED_VALUE"""),"Гимназия 107")</f>
        <v>Гимназия 107</v>
      </c>
      <c r="E527" s="5"/>
      <c r="F527" s="5"/>
      <c r="G527" s="5"/>
      <c r="H527" s="5"/>
      <c r="I527" s="5"/>
      <c r="J527" s="5"/>
      <c r="K527" s="5"/>
      <c r="L527" s="5"/>
      <c r="M527">
        <f ca="1">IFERROR(__xludf.DUMMYFUNCTION("""COMPUTED_VALUE"""),0)</f>
        <v>0</v>
      </c>
      <c r="N527" s="8"/>
    </row>
    <row r="528" spans="1:14" ht="12.45" hidden="1">
      <c r="A528" t="str">
        <f ca="1">IFERROR(__xludf.DUMMYFUNCTION("""COMPUTED_VALUE"""),"III-1-091")</f>
        <v>III-1-091</v>
      </c>
      <c r="B528" t="str">
        <f ca="1">IFERROR(__xludf.DUMMYFUNCTION("""COMPUTED_VALUE"""),"Васильева")</f>
        <v>Васильева</v>
      </c>
      <c r="C528" t="str">
        <f ca="1">IFERROR(__xludf.DUMMYFUNCTION("""COMPUTED_VALUE"""),"Полина")</f>
        <v>Полина</v>
      </c>
      <c r="D528" t="str">
        <f ca="1">IFERROR(__xludf.DUMMYFUNCTION("""COMPUTED_VALUE"""),"Школа 435")</f>
        <v>Школа 435</v>
      </c>
      <c r="E528" s="5"/>
      <c r="F528" s="5"/>
      <c r="G528" s="5"/>
      <c r="H528" s="5"/>
      <c r="I528" s="5"/>
      <c r="J528" s="5"/>
      <c r="K528" s="5"/>
      <c r="L528" s="5"/>
      <c r="M528">
        <f ca="1">IFERROR(__xludf.DUMMYFUNCTION("""COMPUTED_VALUE"""),0)</f>
        <v>0</v>
      </c>
      <c r="N528" s="8"/>
    </row>
    <row r="529" spans="1:14" ht="12.45" hidden="1">
      <c r="A529" t="str">
        <f ca="1">IFERROR(__xludf.DUMMYFUNCTION("""COMPUTED_VALUE"""),"III-1-193")</f>
        <v>III-1-193</v>
      </c>
      <c r="B529" t="str">
        <f ca="1">IFERROR(__xludf.DUMMYFUNCTION("""COMPUTED_VALUE"""),"Зиновьев")</f>
        <v>Зиновьев</v>
      </c>
      <c r="C529" t="str">
        <f ca="1">IFERROR(__xludf.DUMMYFUNCTION("""COMPUTED_VALUE"""),"Михаил")</f>
        <v>Михаил</v>
      </c>
      <c r="D529" t="str">
        <f ca="1">IFERROR(__xludf.DUMMYFUNCTION("""COMPUTED_VALUE"""),"Школа 292")</f>
        <v>Школа 292</v>
      </c>
      <c r="E529" s="5"/>
      <c r="F529" s="5"/>
      <c r="G529" s="5"/>
      <c r="H529" s="5"/>
      <c r="I529" s="5"/>
      <c r="J529" s="5"/>
      <c r="K529" s="5"/>
      <c r="L529" s="5"/>
      <c r="M529">
        <f ca="1">IFERROR(__xludf.DUMMYFUNCTION("""COMPUTED_VALUE"""),0)</f>
        <v>0</v>
      </c>
      <c r="N529" s="8"/>
    </row>
    <row r="530" spans="1:14" ht="12.45" hidden="1">
      <c r="A530" t="str">
        <f ca="1">IFERROR(__xludf.DUMMYFUNCTION("""COMPUTED_VALUE"""),"III-1-254")</f>
        <v>III-1-254</v>
      </c>
      <c r="B530" t="str">
        <f ca="1">IFERROR(__xludf.DUMMYFUNCTION("""COMPUTED_VALUE"""),"Коршунова")</f>
        <v>Коршунова</v>
      </c>
      <c r="C530" t="str">
        <f ca="1">IFERROR(__xludf.DUMMYFUNCTION("""COMPUTED_VALUE"""),"Вера")</f>
        <v>Вера</v>
      </c>
      <c r="D530" t="str">
        <f ca="1">IFERROR(__xludf.DUMMYFUNCTION("""COMPUTED_VALUE"""),"Школа 292")</f>
        <v>Школа 292</v>
      </c>
      <c r="E530" s="5"/>
      <c r="F530" s="5"/>
      <c r="G530" s="5"/>
      <c r="H530" s="5"/>
      <c r="I530" s="5"/>
      <c r="J530" s="5"/>
      <c r="K530" s="5"/>
      <c r="L530" s="5"/>
      <c r="M530">
        <f ca="1">IFERROR(__xludf.DUMMYFUNCTION("""COMPUTED_VALUE"""),0)</f>
        <v>0</v>
      </c>
      <c r="N530" s="8"/>
    </row>
    <row r="531" spans="1:14" ht="12.45" hidden="1">
      <c r="A531" t="str">
        <f ca="1">IFERROR(__xludf.DUMMYFUNCTION("""COMPUTED_VALUE"""),"V-1-594")</f>
        <v>V-1-594</v>
      </c>
      <c r="B531" t="str">
        <f ca="1">IFERROR(__xludf.DUMMYFUNCTION("""COMPUTED_VALUE"""),"Шевченко")</f>
        <v>Шевченко</v>
      </c>
      <c r="C531" t="str">
        <f ca="1">IFERROR(__xludf.DUMMYFUNCTION("""COMPUTED_VALUE"""),"Арина")</f>
        <v>Арина</v>
      </c>
      <c r="D531" t="str">
        <f ca="1">IFERROR(__xludf.DUMMYFUNCTION("""COMPUTED_VALUE"""),"Школа 77")</f>
        <v>Школа 77</v>
      </c>
      <c r="E531" s="5"/>
      <c r="F531" s="5"/>
      <c r="G531" s="5"/>
      <c r="H531" s="5"/>
      <c r="I531" s="5"/>
      <c r="J531" s="5"/>
      <c r="K531" s="5"/>
      <c r="L531" s="5"/>
      <c r="M531">
        <f ca="1">IFERROR(__xludf.DUMMYFUNCTION("""COMPUTED_VALUE"""),0)</f>
        <v>0</v>
      </c>
      <c r="N531" s="8"/>
    </row>
    <row r="532" spans="1:14" ht="12.45" hidden="1">
      <c r="A532" t="str">
        <f ca="1">IFERROR(__xludf.DUMMYFUNCTION("""COMPUTED_VALUE"""),"III-1-303")</f>
        <v>III-1-303</v>
      </c>
      <c r="B532" t="str">
        <f ca="1">IFERROR(__xludf.DUMMYFUNCTION("""COMPUTED_VALUE"""),"Лучкова")</f>
        <v>Лучкова</v>
      </c>
      <c r="C532" t="str">
        <f ca="1">IFERROR(__xludf.DUMMYFUNCTION("""COMPUTED_VALUE"""),"Олеся")</f>
        <v>Олеся</v>
      </c>
      <c r="D532" t="str">
        <f ca="1">IFERROR(__xludf.DUMMYFUNCTION("""COMPUTED_VALUE"""),"Школа 598")</f>
        <v>Школа 598</v>
      </c>
      <c r="E532" s="5"/>
      <c r="F532" s="5"/>
      <c r="G532" s="5"/>
      <c r="H532" s="5"/>
      <c r="I532" s="5"/>
      <c r="J532" s="5"/>
      <c r="K532" s="5"/>
      <c r="L532" s="5"/>
      <c r="M532">
        <f ca="1">IFERROR(__xludf.DUMMYFUNCTION("""COMPUTED_VALUE"""),0)</f>
        <v>0</v>
      </c>
      <c r="N532" s="8"/>
    </row>
    <row r="533" spans="1:14" ht="12.45" hidden="1">
      <c r="A533" t="str">
        <f ca="1">IFERROR(__xludf.DUMMYFUNCTION("""COMPUTED_VALUE"""),"V-1-451")</f>
        <v>V-1-451</v>
      </c>
      <c r="B533" t="str">
        <f ca="1">IFERROR(__xludf.DUMMYFUNCTION("""COMPUTED_VALUE"""),"Рымов")</f>
        <v>Рымов</v>
      </c>
      <c r="C533" t="str">
        <f ca="1">IFERROR(__xludf.DUMMYFUNCTION("""COMPUTED_VALUE"""),"Анатолий")</f>
        <v>Анатолий</v>
      </c>
      <c r="D533" t="str">
        <f ca="1">IFERROR(__xludf.DUMMYFUNCTION("""COMPUTED_VALUE"""),"Школа 598")</f>
        <v>Школа 598</v>
      </c>
      <c r="E533" s="5"/>
      <c r="F533" s="5"/>
      <c r="G533" s="5"/>
      <c r="H533" s="5"/>
      <c r="I533" s="5"/>
      <c r="J533" s="5"/>
      <c r="K533" s="5"/>
      <c r="L533" s="5"/>
      <c r="M533">
        <f ca="1">IFERROR(__xludf.DUMMYFUNCTION("""COMPUTED_VALUE"""),0)</f>
        <v>0</v>
      </c>
      <c r="N533" s="8"/>
    </row>
    <row r="534" spans="1:14" ht="12.45" hidden="1">
      <c r="A534" t="str">
        <f ca="1">IFERROR(__xludf.DUMMYFUNCTION("""COMPUTED_VALUE"""),"III-1-064")</f>
        <v>III-1-064</v>
      </c>
      <c r="B534" t="str">
        <f ca="1">IFERROR(__xludf.DUMMYFUNCTION("""COMPUTED_VALUE"""),"Близнец")</f>
        <v>Близнец</v>
      </c>
      <c r="C534" t="str">
        <f ca="1">IFERROR(__xludf.DUMMYFUNCTION("""COMPUTED_VALUE"""),"Нонна")</f>
        <v>Нонна</v>
      </c>
      <c r="D534" t="str">
        <f ca="1">IFERROR(__xludf.DUMMYFUNCTION("""COMPUTED_VALUE"""),"Школа 4 им. Кусто")</f>
        <v>Школа 4 им. Кусто</v>
      </c>
      <c r="E534" s="5"/>
      <c r="F534" s="5"/>
      <c r="G534" s="5"/>
      <c r="H534" s="5"/>
      <c r="I534" s="5"/>
      <c r="J534" s="5"/>
      <c r="K534" s="5"/>
      <c r="L534" s="5"/>
      <c r="M534">
        <f ca="1">IFERROR(__xludf.DUMMYFUNCTION("""COMPUTED_VALUE"""),0)</f>
        <v>0</v>
      </c>
      <c r="N534" s="8"/>
    </row>
    <row r="535" spans="1:14" ht="12.45" hidden="1">
      <c r="A535" t="str">
        <f ca="1">IFERROR(__xludf.DUMMYFUNCTION("""COMPUTED_VALUE"""),"III-1-117")</f>
        <v>III-1-117</v>
      </c>
      <c r="B535" t="str">
        <f ca="1">IFERROR(__xludf.DUMMYFUNCTION("""COMPUTED_VALUE"""),"Гайченкова")</f>
        <v>Гайченкова</v>
      </c>
      <c r="C535" t="str">
        <f ca="1">IFERROR(__xludf.DUMMYFUNCTION("""COMPUTED_VALUE"""),"Виктория")</f>
        <v>Виктория</v>
      </c>
      <c r="D535" t="str">
        <f ca="1">IFERROR(__xludf.DUMMYFUNCTION("""COMPUTED_VALUE"""),"Школа 4 Кусто")</f>
        <v>Школа 4 Кусто</v>
      </c>
      <c r="E535" s="5"/>
      <c r="F535" s="5"/>
      <c r="G535" s="5"/>
      <c r="H535" s="5"/>
      <c r="I535" s="5"/>
      <c r="J535" s="5"/>
      <c r="K535" s="5"/>
      <c r="L535" s="5"/>
      <c r="M535">
        <f ca="1">IFERROR(__xludf.DUMMYFUNCTION("""COMPUTED_VALUE"""),0)</f>
        <v>0</v>
      </c>
      <c r="N535" s="8"/>
    </row>
    <row r="536" spans="1:14" ht="12.45" hidden="1">
      <c r="A536" t="str">
        <f ca="1">IFERROR(__xludf.DUMMYFUNCTION("""COMPUTED_VALUE"""),"III-1-168")</f>
        <v>III-1-168</v>
      </c>
      <c r="B536" t="str">
        <f ca="1">IFERROR(__xludf.DUMMYFUNCTION("""COMPUTED_VALUE"""),"Дубейко")</f>
        <v>Дубейко</v>
      </c>
      <c r="C536" t="str">
        <f ca="1">IFERROR(__xludf.DUMMYFUNCTION("""COMPUTED_VALUE"""),"Владимир")</f>
        <v>Владимир</v>
      </c>
      <c r="D536" t="str">
        <f ca="1">IFERROR(__xludf.DUMMYFUNCTION("""COMPUTED_VALUE"""),"Школа 4")</f>
        <v>Школа 4</v>
      </c>
      <c r="E536" s="5"/>
      <c r="F536" s="5"/>
      <c r="G536" s="5"/>
      <c r="H536" s="5"/>
      <c r="I536" s="5"/>
      <c r="J536" s="5"/>
      <c r="K536" s="5"/>
      <c r="L536" s="5"/>
      <c r="M536">
        <f ca="1">IFERROR(__xludf.DUMMYFUNCTION("""COMPUTED_VALUE"""),0)</f>
        <v>0</v>
      </c>
      <c r="N536" s="8"/>
    </row>
    <row r="537" spans="1:14" ht="12.45" hidden="1">
      <c r="A537" t="str">
        <f ca="1">IFERROR(__xludf.DUMMYFUNCTION("""COMPUTED_VALUE"""),"V-1-388")</f>
        <v>V-1-388</v>
      </c>
      <c r="B537" t="str">
        <f ca="1">IFERROR(__xludf.DUMMYFUNCTION("""COMPUTED_VALUE"""),"Парфенюк")</f>
        <v>Парфенюк</v>
      </c>
      <c r="C537" t="str">
        <f ca="1">IFERROR(__xludf.DUMMYFUNCTION("""COMPUTED_VALUE"""),"Тимофей")</f>
        <v>Тимофей</v>
      </c>
      <c r="D537" t="str">
        <f ca="1">IFERROR(__xludf.DUMMYFUNCTION("""COMPUTED_VALUE"""),"Школа им. Кусто 4")</f>
        <v>Школа им. Кусто 4</v>
      </c>
      <c r="E537" s="5"/>
      <c r="F537" s="5"/>
      <c r="G537" s="5"/>
      <c r="H537" s="5"/>
      <c r="I537" s="5"/>
      <c r="J537" s="5"/>
      <c r="K537" s="5"/>
      <c r="L537" s="5"/>
      <c r="M537">
        <f ca="1">IFERROR(__xludf.DUMMYFUNCTION("""COMPUTED_VALUE"""),0)</f>
        <v>0</v>
      </c>
      <c r="N537" s="8"/>
    </row>
    <row r="538" spans="1:14" ht="12.45" hidden="1">
      <c r="A538" t="str">
        <f ca="1">IFERROR(__xludf.DUMMYFUNCTION("""COMPUTED_VALUE"""),"III-1-107")</f>
        <v>III-1-107</v>
      </c>
      <c r="B538" t="str">
        <f ca="1">IFERROR(__xludf.DUMMYFUNCTION("""COMPUTED_VALUE"""),"Волнухина")</f>
        <v>Волнухина</v>
      </c>
      <c r="C538" t="str">
        <f ca="1">IFERROR(__xludf.DUMMYFUNCTION("""COMPUTED_VALUE"""),"Вероника")</f>
        <v>Вероника</v>
      </c>
      <c r="D538" t="str">
        <f ca="1">IFERROR(__xludf.DUMMYFUNCTION("""COMPUTED_VALUE"""),"Гимназия 248")</f>
        <v>Гимназия 248</v>
      </c>
      <c r="E538" s="5"/>
      <c r="F538" s="5"/>
      <c r="G538" s="5"/>
      <c r="H538" s="5"/>
      <c r="I538" s="5"/>
      <c r="J538" s="5"/>
      <c r="K538" s="5"/>
      <c r="L538" s="5"/>
      <c r="M538">
        <f ca="1">IFERROR(__xludf.DUMMYFUNCTION("""COMPUTED_VALUE"""),0)</f>
        <v>0</v>
      </c>
      <c r="N538" s="8"/>
    </row>
    <row r="539" spans="1:14" ht="12.45" hidden="1">
      <c r="A539" t="str">
        <f ca="1">IFERROR(__xludf.DUMMYFUNCTION("""COMPUTED_VALUE"""),"III-1-046")</f>
        <v>III-1-046</v>
      </c>
      <c r="B539" t="str">
        <f ca="1">IFERROR(__xludf.DUMMYFUNCTION("""COMPUTED_VALUE"""),"Барсанова")</f>
        <v>Барсанова</v>
      </c>
      <c r="C539" t="str">
        <f ca="1">IFERROR(__xludf.DUMMYFUNCTION("""COMPUTED_VALUE"""),"Дарья")</f>
        <v>Дарья</v>
      </c>
      <c r="D539" t="str">
        <f ca="1">IFERROR(__xludf.DUMMYFUNCTION("""COMPUTED_VALUE"""),"Школа 106")</f>
        <v>Школа 106</v>
      </c>
      <c r="E539" s="5"/>
      <c r="F539" s="5"/>
      <c r="G539" s="5"/>
      <c r="H539" s="5"/>
      <c r="I539" s="5"/>
      <c r="J539" s="5"/>
      <c r="K539" s="5"/>
      <c r="L539" s="5"/>
      <c r="M539">
        <f ca="1">IFERROR(__xludf.DUMMYFUNCTION("""COMPUTED_VALUE"""),0)</f>
        <v>0</v>
      </c>
      <c r="N539" s="8"/>
    </row>
    <row r="540" spans="1:14" ht="12.45" hidden="1">
      <c r="A540" t="str">
        <f ca="1">IFERROR(__xludf.DUMMYFUNCTION("""COMPUTED_VALUE"""),"V-1-588")</f>
        <v>V-1-588</v>
      </c>
      <c r="B540" t="str">
        <f ca="1">IFERROR(__xludf.DUMMYFUNCTION("""COMPUTED_VALUE"""),"Шарапов")</f>
        <v>Шарапов</v>
      </c>
      <c r="C540" t="str">
        <f ca="1">IFERROR(__xludf.DUMMYFUNCTION("""COMPUTED_VALUE"""),"Марк")</f>
        <v>Марк</v>
      </c>
      <c r="D540" t="str">
        <f ca="1">IFERROR(__xludf.DUMMYFUNCTION("""COMPUTED_VALUE"""),"Школа 106")</f>
        <v>Школа 106</v>
      </c>
      <c r="E540" s="5"/>
      <c r="F540" s="5">
        <f ca="1">IFERROR(__xludf.DUMMYFUNCTION("""COMPUTED_VALUE"""),0)</f>
        <v>0</v>
      </c>
      <c r="G540" s="5">
        <f ca="1">IFERROR(__xludf.DUMMYFUNCTION("""COMPUTED_VALUE"""),0)</f>
        <v>0</v>
      </c>
      <c r="H540" s="5">
        <f ca="1">IFERROR(__xludf.DUMMYFUNCTION("""COMPUTED_VALUE"""),0)</f>
        <v>0</v>
      </c>
      <c r="I540" s="5">
        <f ca="1">IFERROR(__xludf.DUMMYFUNCTION("""COMPUTED_VALUE"""),0)</f>
        <v>0</v>
      </c>
      <c r="J540" s="5"/>
      <c r="K540" s="5"/>
      <c r="L540" s="5"/>
      <c r="M540">
        <f ca="1">IFERROR(__xludf.DUMMYFUNCTION("""COMPUTED_VALUE"""),0)</f>
        <v>0</v>
      </c>
      <c r="N540" s="8"/>
    </row>
    <row r="541" spans="1:14" ht="12.45" hidden="1">
      <c r="A541" t="str">
        <f ca="1">IFERROR(__xludf.DUMMYFUNCTION("""COMPUTED_VALUE"""),"III-1-291")</f>
        <v>III-1-291</v>
      </c>
      <c r="B541" t="str">
        <f ca="1">IFERROR(__xludf.DUMMYFUNCTION("""COMPUTED_VALUE"""),"Лепехо")</f>
        <v>Лепехо</v>
      </c>
      <c r="C541" t="str">
        <f ca="1">IFERROR(__xludf.DUMMYFUNCTION("""COMPUTED_VALUE"""),"Виктория")</f>
        <v>Виктория</v>
      </c>
      <c r="D541" t="str">
        <f ca="1">IFERROR(__xludf.DUMMYFUNCTION("""COMPUTED_VALUE"""),"Школа 213")</f>
        <v>Школа 213</v>
      </c>
      <c r="E541" s="5"/>
      <c r="F541" s="5"/>
      <c r="G541" s="5"/>
      <c r="H541" s="5"/>
      <c r="I541" s="5"/>
      <c r="J541" s="5"/>
      <c r="K541" s="5"/>
      <c r="L541" s="5"/>
      <c r="M541">
        <f ca="1">IFERROR(__xludf.DUMMYFUNCTION("""COMPUTED_VALUE"""),0)</f>
        <v>0</v>
      </c>
      <c r="N541" s="8"/>
    </row>
    <row r="542" spans="1:14" ht="12.45" hidden="1">
      <c r="A542" t="str">
        <f ca="1">IFERROR(__xludf.DUMMYFUNCTION("""COMPUTED_VALUE"""),"V-1-402")</f>
        <v>V-1-402</v>
      </c>
      <c r="B542" t="str">
        <f ca="1">IFERROR(__xludf.DUMMYFUNCTION("""COMPUTED_VALUE"""),"Плиев")</f>
        <v>Плиев</v>
      </c>
      <c r="C542" t="str">
        <f ca="1">IFERROR(__xludf.DUMMYFUNCTION("""COMPUTED_VALUE"""),"Тамерлан")</f>
        <v>Тамерлан</v>
      </c>
      <c r="D542" t="str">
        <f ca="1">IFERROR(__xludf.DUMMYFUNCTION("""COMPUTED_VALUE"""),"Школа 213")</f>
        <v>Школа 213</v>
      </c>
      <c r="E542" s="5"/>
      <c r="F542" s="5"/>
      <c r="G542" s="5"/>
      <c r="H542" s="5"/>
      <c r="I542" s="5"/>
      <c r="J542" s="5"/>
      <c r="K542" s="5"/>
      <c r="L542" s="5"/>
      <c r="M542">
        <f ca="1">IFERROR(__xludf.DUMMYFUNCTION("""COMPUTED_VALUE"""),0)</f>
        <v>0</v>
      </c>
      <c r="N542" s="8"/>
    </row>
    <row r="543" spans="1:14" ht="12.45" hidden="1">
      <c r="A543" t="str">
        <f ca="1">IFERROR(__xludf.DUMMYFUNCTION("""COMPUTED_VALUE"""),"V-1-468")</f>
        <v>V-1-468</v>
      </c>
      <c r="B543" t="str">
        <f ca="1">IFERROR(__xludf.DUMMYFUNCTION("""COMPUTED_VALUE"""),"Серебряникова")</f>
        <v>Серебряникова</v>
      </c>
      <c r="C543" t="str">
        <f ca="1">IFERROR(__xludf.DUMMYFUNCTION("""COMPUTED_VALUE"""),"Кристина")</f>
        <v>Кристина</v>
      </c>
      <c r="D543" t="str">
        <f ca="1">IFERROR(__xludf.DUMMYFUNCTION("""COMPUTED_VALUE"""),"Школа 213")</f>
        <v>Школа 213</v>
      </c>
      <c r="E543" s="5"/>
      <c r="F543" s="5"/>
      <c r="G543" s="5"/>
      <c r="H543" s="5"/>
      <c r="I543" s="5"/>
      <c r="J543" s="5"/>
      <c r="K543" s="5"/>
      <c r="L543" s="5"/>
      <c r="M543">
        <f ca="1">IFERROR(__xludf.DUMMYFUNCTION("""COMPUTED_VALUE"""),0)</f>
        <v>0</v>
      </c>
      <c r="N543" s="8"/>
    </row>
    <row r="544" spans="1:14" ht="12.45" hidden="1">
      <c r="A544" t="str">
        <f ca="1">IFERROR(__xludf.DUMMYFUNCTION("""COMPUTED_VALUE"""),"V-1-311")</f>
        <v>V-1-311</v>
      </c>
      <c r="B544" t="str">
        <f ca="1">IFERROR(__xludf.DUMMYFUNCTION("""COMPUTED_VALUE"""),"Мальцева")</f>
        <v>Мальцева</v>
      </c>
      <c r="C544" t="str">
        <f ca="1">IFERROR(__xludf.DUMMYFUNCTION("""COMPUTED_VALUE"""),"Анжелика")</f>
        <v>Анжелика</v>
      </c>
      <c r="D544" t="str">
        <f ca="1">IFERROR(__xludf.DUMMYFUNCTION("""COMPUTED_VALUE"""),"Школа 100")</f>
        <v>Школа 100</v>
      </c>
      <c r="E544" s="5"/>
      <c r="F544" s="5"/>
      <c r="G544" s="5"/>
      <c r="H544" s="5"/>
      <c r="I544" s="5"/>
      <c r="J544" s="5"/>
      <c r="K544" s="5"/>
      <c r="L544" s="5"/>
      <c r="M544">
        <f ca="1">IFERROR(__xludf.DUMMYFUNCTION("""COMPUTED_VALUE"""),0)</f>
        <v>0</v>
      </c>
      <c r="N544" s="8"/>
    </row>
    <row r="545" spans="1:14" ht="12.45" hidden="1">
      <c r="A545" t="str">
        <f ca="1">IFERROR(__xludf.DUMMYFUNCTION("""COMPUTED_VALUE"""),"V-1-523")</f>
        <v>V-1-523</v>
      </c>
      <c r="B545" t="str">
        <f ca="1">IFERROR(__xludf.DUMMYFUNCTION("""COMPUTED_VALUE"""),"Токар")</f>
        <v>Токар</v>
      </c>
      <c r="C545" t="str">
        <f ca="1">IFERROR(__xludf.DUMMYFUNCTION("""COMPUTED_VALUE"""),"Карина")</f>
        <v>Карина</v>
      </c>
      <c r="D545" t="str">
        <f ca="1">IFERROR(__xludf.DUMMYFUNCTION("""COMPUTED_VALUE"""),"Школа 100")</f>
        <v>Школа 100</v>
      </c>
      <c r="E545" s="5"/>
      <c r="F545" s="5"/>
      <c r="G545" s="5"/>
      <c r="H545" s="5"/>
      <c r="I545" s="5"/>
      <c r="J545" s="5"/>
      <c r="K545" s="5"/>
      <c r="L545" s="5"/>
      <c r="M545">
        <f ca="1">IFERROR(__xludf.DUMMYFUNCTION("""COMPUTED_VALUE"""),0)</f>
        <v>0</v>
      </c>
      <c r="N545" s="8"/>
    </row>
    <row r="546" spans="1:14" ht="12.45" hidden="1">
      <c r="A546" t="str">
        <f ca="1">IFERROR(__xludf.DUMMYFUNCTION("""COMPUTED_VALUE"""),"V-1-465")</f>
        <v>V-1-465</v>
      </c>
      <c r="B546" t="str">
        <f ca="1">IFERROR(__xludf.DUMMYFUNCTION("""COMPUTED_VALUE"""),"Семичев")</f>
        <v>Семичев</v>
      </c>
      <c r="C546" t="str">
        <f ca="1">IFERROR(__xludf.DUMMYFUNCTION("""COMPUTED_VALUE"""),"Дмитрий")</f>
        <v>Дмитрий</v>
      </c>
      <c r="D546" t="str">
        <f ca="1">IFERROR(__xludf.DUMMYFUNCTION("""COMPUTED_VALUE"""),"Школа 307")</f>
        <v>Школа 307</v>
      </c>
      <c r="E546" s="5"/>
      <c r="F546" s="5"/>
      <c r="G546" s="5"/>
      <c r="H546" s="5"/>
      <c r="I546" s="5"/>
      <c r="J546" s="5"/>
      <c r="K546" s="5"/>
      <c r="L546" s="5"/>
      <c r="M546">
        <f ca="1">IFERROR(__xludf.DUMMYFUNCTION("""COMPUTED_VALUE"""),0)</f>
        <v>0</v>
      </c>
      <c r="N546" s="8"/>
    </row>
    <row r="547" spans="1:14" ht="12.45" hidden="1">
      <c r="A547" t="str">
        <f ca="1">IFERROR(__xludf.DUMMYFUNCTION("""COMPUTED_VALUE"""),"III-1-012")</f>
        <v>III-1-012</v>
      </c>
      <c r="B547" t="str">
        <f ca="1">IFERROR(__xludf.DUMMYFUNCTION("""COMPUTED_VALUE"""),"Аленков")</f>
        <v>Аленков</v>
      </c>
      <c r="C547" t="str">
        <f ca="1">IFERROR(__xludf.DUMMYFUNCTION("""COMPUTED_VALUE"""),"Николай")</f>
        <v>Николай</v>
      </c>
      <c r="D547" t="str">
        <f ca="1">IFERROR(__xludf.DUMMYFUNCTION("""COMPUTED_VALUE"""),"Школа 371")</f>
        <v>Школа 371</v>
      </c>
      <c r="E547" s="5"/>
      <c r="F547" s="5"/>
      <c r="G547" s="5"/>
      <c r="H547" s="5"/>
      <c r="I547" s="5"/>
      <c r="J547" s="5"/>
      <c r="K547" s="5"/>
      <c r="L547" s="5"/>
      <c r="M547">
        <f ca="1">IFERROR(__xludf.DUMMYFUNCTION("""COMPUTED_VALUE"""),0)</f>
        <v>0</v>
      </c>
      <c r="N547" s="8"/>
    </row>
    <row r="548" spans="1:14" ht="12.45" hidden="1">
      <c r="A548" t="str">
        <f ca="1">IFERROR(__xludf.DUMMYFUNCTION("""COMPUTED_VALUE"""),"III-1-013")</f>
        <v>III-1-013</v>
      </c>
      <c r="B548" t="str">
        <f ca="1">IFERROR(__xludf.DUMMYFUNCTION("""COMPUTED_VALUE"""),"Аленкова")</f>
        <v>Аленкова</v>
      </c>
      <c r="C548" t="str">
        <f ca="1">IFERROR(__xludf.DUMMYFUNCTION("""COMPUTED_VALUE"""),"Екатерина")</f>
        <v>Екатерина</v>
      </c>
      <c r="D548" t="str">
        <f ca="1">IFERROR(__xludf.DUMMYFUNCTION("""COMPUTED_VALUE"""),"Школа 371")</f>
        <v>Школа 371</v>
      </c>
      <c r="E548" s="5"/>
      <c r="F548" s="5"/>
      <c r="G548" s="5"/>
      <c r="H548" s="5"/>
      <c r="I548" s="5"/>
      <c r="J548" s="5"/>
      <c r="K548" s="5"/>
      <c r="L548" s="5"/>
      <c r="M548">
        <f ca="1">IFERROR(__xludf.DUMMYFUNCTION("""COMPUTED_VALUE"""),0)</f>
        <v>0</v>
      </c>
      <c r="N548" s="8"/>
    </row>
    <row r="549" spans="1:14" ht="12.45" hidden="1">
      <c r="A549" t="str">
        <f ca="1">IFERROR(__xludf.DUMMYFUNCTION("""COMPUTED_VALUE"""),"V-1-321")</f>
        <v>V-1-321</v>
      </c>
      <c r="B549" t="str">
        <f ca="1">IFERROR(__xludf.DUMMYFUNCTION("""COMPUTED_VALUE"""),"Мельничук")</f>
        <v>Мельничук</v>
      </c>
      <c r="C549" t="str">
        <f ca="1">IFERROR(__xludf.DUMMYFUNCTION("""COMPUTED_VALUE"""),"Алиса")</f>
        <v>Алиса</v>
      </c>
      <c r="D549" t="str">
        <f ca="1">IFERROR(__xludf.DUMMYFUNCTION("""COMPUTED_VALUE"""),"Школа 371")</f>
        <v>Школа 371</v>
      </c>
      <c r="E549" s="5"/>
      <c r="F549" s="5"/>
      <c r="G549" s="5"/>
      <c r="H549" s="5"/>
      <c r="I549" s="5"/>
      <c r="J549" s="5"/>
      <c r="K549" s="5"/>
      <c r="L549" s="5"/>
      <c r="M549">
        <f ca="1">IFERROR(__xludf.DUMMYFUNCTION("""COMPUTED_VALUE"""),0)</f>
        <v>0</v>
      </c>
      <c r="N549" s="8"/>
    </row>
    <row r="550" spans="1:14" ht="12.45" hidden="1">
      <c r="A550" t="str">
        <f ca="1">IFERROR(__xludf.DUMMYFUNCTION("""COMPUTED_VALUE"""),"V-1-519")</f>
        <v>V-1-519</v>
      </c>
      <c r="B550" t="str">
        <f ca="1">IFERROR(__xludf.DUMMYFUNCTION("""COMPUTED_VALUE"""),"Тимошкина")</f>
        <v>Тимошкина</v>
      </c>
      <c r="C550" t="str">
        <f ca="1">IFERROR(__xludf.DUMMYFUNCTION("""COMPUTED_VALUE"""),"Василиса")</f>
        <v>Василиса</v>
      </c>
      <c r="D550" t="str">
        <f ca="1">IFERROR(__xludf.DUMMYFUNCTION("""COMPUTED_VALUE"""),"Школа 371")</f>
        <v>Школа 371</v>
      </c>
      <c r="E550" s="5"/>
      <c r="F550" s="5"/>
      <c r="G550" s="5"/>
      <c r="H550" s="5"/>
      <c r="I550" s="5"/>
      <c r="J550" s="5"/>
      <c r="K550" s="5"/>
      <c r="L550" s="5"/>
      <c r="M550">
        <f ca="1">IFERROR(__xludf.DUMMYFUNCTION("""COMPUTED_VALUE"""),0)</f>
        <v>0</v>
      </c>
      <c r="N550" s="8"/>
    </row>
    <row r="551" spans="1:14" ht="12.45" hidden="1">
      <c r="A551" t="str">
        <f ca="1">IFERROR(__xludf.DUMMYFUNCTION("""COMPUTED_VALUE"""),"V-1-574")</f>
        <v>V-1-574</v>
      </c>
      <c r="B551" t="str">
        <f ca="1">IFERROR(__xludf.DUMMYFUNCTION("""COMPUTED_VALUE"""),"Чепелев")</f>
        <v>Чепелев</v>
      </c>
      <c r="C551" t="str">
        <f ca="1">IFERROR(__xludf.DUMMYFUNCTION("""COMPUTED_VALUE"""),"Максим")</f>
        <v>Максим</v>
      </c>
      <c r="D551" t="str">
        <f ca="1">IFERROR(__xludf.DUMMYFUNCTION("""COMPUTED_VALUE"""),"Лицей 150")</f>
        <v>Лицей 150</v>
      </c>
      <c r="E551" s="5"/>
      <c r="F551" s="5"/>
      <c r="G551" s="5"/>
      <c r="H551" s="5"/>
      <c r="I551" s="5"/>
      <c r="J551" s="5"/>
      <c r="K551" s="5"/>
      <c r="L551" s="5"/>
      <c r="M551">
        <f ca="1">IFERROR(__xludf.DUMMYFUNCTION("""COMPUTED_VALUE"""),0)</f>
        <v>0</v>
      </c>
      <c r="N551" s="8"/>
    </row>
    <row r="552" spans="1:14" ht="12.45" hidden="1">
      <c r="A552" t="str">
        <f ca="1">IFERROR(__xludf.DUMMYFUNCTION("""COMPUTED_VALUE"""),"III-1-271")</f>
        <v>III-1-271</v>
      </c>
      <c r="B552" t="str">
        <f ca="1">IFERROR(__xludf.DUMMYFUNCTION("""COMPUTED_VALUE"""),"Кудрявцева")</f>
        <v>Кудрявцева</v>
      </c>
      <c r="C552" t="str">
        <f ca="1">IFERROR(__xludf.DUMMYFUNCTION("""COMPUTED_VALUE"""),"Дарья")</f>
        <v>Дарья</v>
      </c>
      <c r="D552" t="str">
        <f ca="1">IFERROR(__xludf.DUMMYFUNCTION("""COMPUTED_VALUE"""),"Гимназия 107")</f>
        <v>Гимназия 107</v>
      </c>
      <c r="E552" s="5"/>
      <c r="F552" s="5"/>
      <c r="G552" s="5"/>
      <c r="H552" s="5"/>
      <c r="I552" s="5"/>
      <c r="J552" s="5"/>
      <c r="K552" s="5"/>
      <c r="L552" s="5"/>
      <c r="M552">
        <f ca="1">IFERROR(__xludf.DUMMYFUNCTION("""COMPUTED_VALUE"""),0)</f>
        <v>0</v>
      </c>
      <c r="N552" s="8"/>
    </row>
    <row r="553" spans="1:14" ht="12.45" hidden="1">
      <c r="A553" t="str">
        <f ca="1">IFERROR(__xludf.DUMMYFUNCTION("""COMPUTED_VALUE"""),"III-1-277")</f>
        <v>III-1-277</v>
      </c>
      <c r="B553" t="str">
        <f ca="1">IFERROR(__xludf.DUMMYFUNCTION("""COMPUTED_VALUE"""),"Кулакова")</f>
        <v>Кулакова</v>
      </c>
      <c r="C553" t="str">
        <f ca="1">IFERROR(__xludf.DUMMYFUNCTION("""COMPUTED_VALUE"""),"Олеся")</f>
        <v>Олеся</v>
      </c>
      <c r="D553" t="str">
        <f ca="1">IFERROR(__xludf.DUMMYFUNCTION("""COMPUTED_VALUE"""),"Гимназия 107")</f>
        <v>Гимназия 107</v>
      </c>
      <c r="E553" s="5">
        <f ca="1">IFERROR(__xludf.DUMMYFUNCTION("""COMPUTED_VALUE"""),0)</f>
        <v>0</v>
      </c>
      <c r="F553" s="5">
        <f ca="1">IFERROR(__xludf.DUMMYFUNCTION("""COMPUTED_VALUE"""),0)</f>
        <v>0</v>
      </c>
      <c r="G553" s="5">
        <f ca="1">IFERROR(__xludf.DUMMYFUNCTION("""COMPUTED_VALUE"""),0)</f>
        <v>0</v>
      </c>
      <c r="H553" s="5">
        <f ca="1">IFERROR(__xludf.DUMMYFUNCTION("""COMPUTED_VALUE"""),0)</f>
        <v>0</v>
      </c>
      <c r="I553" s="5">
        <f ca="1">IFERROR(__xludf.DUMMYFUNCTION("""COMPUTED_VALUE"""),0)</f>
        <v>0</v>
      </c>
      <c r="J553" s="5">
        <f ca="1">IFERROR(__xludf.DUMMYFUNCTION("""COMPUTED_VALUE"""),0)</f>
        <v>0</v>
      </c>
      <c r="K553" s="5">
        <f ca="1">IFERROR(__xludf.DUMMYFUNCTION("""COMPUTED_VALUE"""),0)</f>
        <v>0</v>
      </c>
      <c r="L553" s="5">
        <f ca="1">IFERROR(__xludf.DUMMYFUNCTION("""COMPUTED_VALUE"""),0)</f>
        <v>0</v>
      </c>
      <c r="M553">
        <f ca="1">IFERROR(__xludf.DUMMYFUNCTION("""COMPUTED_VALUE"""),0)</f>
        <v>0</v>
      </c>
      <c r="N553" s="8"/>
    </row>
    <row r="554" spans="1:14" ht="12.45" hidden="1">
      <c r="A554" t="str">
        <f ca="1">IFERROR(__xludf.DUMMYFUNCTION("""COMPUTED_VALUE"""),"V-1-337")</f>
        <v>V-1-337</v>
      </c>
      <c r="B554" t="str">
        <f ca="1">IFERROR(__xludf.DUMMYFUNCTION("""COMPUTED_VALUE"""),"Молин")</f>
        <v>Молин</v>
      </c>
      <c r="C554" t="str">
        <f ca="1">IFERROR(__xludf.DUMMYFUNCTION("""COMPUTED_VALUE"""),"Макар")</f>
        <v>Макар</v>
      </c>
      <c r="D554" t="str">
        <f ca="1">IFERROR(__xludf.DUMMYFUNCTION("""COMPUTED_VALUE"""),"Гимназия 107")</f>
        <v>Гимназия 107</v>
      </c>
      <c r="E554" s="5"/>
      <c r="F554" s="5"/>
      <c r="G554" s="5"/>
      <c r="H554" s="5"/>
      <c r="I554" s="5"/>
      <c r="J554" s="5"/>
      <c r="K554" s="5"/>
      <c r="L554" s="5"/>
      <c r="M554">
        <f ca="1">IFERROR(__xludf.DUMMYFUNCTION("""COMPUTED_VALUE"""),0)</f>
        <v>0</v>
      </c>
      <c r="N554" s="8"/>
    </row>
    <row r="555" spans="1:14" ht="12.45" hidden="1">
      <c r="A555" t="str">
        <f ca="1">IFERROR(__xludf.DUMMYFUNCTION("""COMPUTED_VALUE"""),"V-1-591")</f>
        <v>V-1-591</v>
      </c>
      <c r="B555" t="str">
        <f ca="1">IFERROR(__xludf.DUMMYFUNCTION("""COMPUTED_VALUE"""),"Шатов")</f>
        <v>Шатов</v>
      </c>
      <c r="C555" t="str">
        <f ca="1">IFERROR(__xludf.DUMMYFUNCTION("""COMPUTED_VALUE"""),"Павел")</f>
        <v>Павел</v>
      </c>
      <c r="D555" t="str">
        <f ca="1">IFERROR(__xludf.DUMMYFUNCTION("""COMPUTED_VALUE"""),"Гимназия 107")</f>
        <v>Гимназия 107</v>
      </c>
      <c r="E555" s="5"/>
      <c r="F555" s="5"/>
      <c r="G555" s="5"/>
      <c r="H555" s="5"/>
      <c r="I555" s="5"/>
      <c r="J555" s="5"/>
      <c r="K555" s="5"/>
      <c r="L555" s="5"/>
      <c r="M555">
        <f ca="1">IFERROR(__xludf.DUMMYFUNCTION("""COMPUTED_VALUE"""),0)</f>
        <v>0</v>
      </c>
      <c r="N555" s="8"/>
    </row>
    <row r="556" spans="1:14" ht="12.45" hidden="1">
      <c r="A556" t="str">
        <f ca="1">IFERROR(__xludf.DUMMYFUNCTION("""COMPUTED_VALUE"""),"III-1-120")</f>
        <v>III-1-120</v>
      </c>
      <c r="B556" t="str">
        <f ca="1">IFERROR(__xludf.DUMMYFUNCTION("""COMPUTED_VALUE"""),"Гандзий")</f>
        <v>Гандзий</v>
      </c>
      <c r="C556" t="str">
        <f ca="1">IFERROR(__xludf.DUMMYFUNCTION("""COMPUTED_VALUE"""),"Егор")</f>
        <v>Егор</v>
      </c>
      <c r="D556" t="str">
        <f ca="1">IFERROR(__xludf.DUMMYFUNCTION("""COMPUTED_VALUE"""),"Школа Кружок Теремок +")</f>
        <v>Школа Кружок Теремок +</v>
      </c>
      <c r="E556" s="5"/>
      <c r="F556" s="5"/>
      <c r="G556" s="5"/>
      <c r="H556" s="5"/>
      <c r="I556" s="5"/>
      <c r="J556" s="5"/>
      <c r="K556" s="5"/>
      <c r="L556" s="5"/>
      <c r="M556">
        <f ca="1">IFERROR(__xludf.DUMMYFUNCTION("""COMPUTED_VALUE"""),0)</f>
        <v>0</v>
      </c>
      <c r="N556" s="8"/>
    </row>
    <row r="557" spans="1:14" ht="12.45" hidden="1">
      <c r="A557" t="str">
        <f ca="1">IFERROR(__xludf.DUMMYFUNCTION("""COMPUTED_VALUE"""),"III-1-190")</f>
        <v>III-1-190</v>
      </c>
      <c r="B557" t="str">
        <f ca="1">IFERROR(__xludf.DUMMYFUNCTION("""COMPUTED_VALUE"""),"Зелянин")</f>
        <v>Зелянин</v>
      </c>
      <c r="C557" t="str">
        <f ca="1">IFERROR(__xludf.DUMMYFUNCTION("""COMPUTED_VALUE"""),"Артём")</f>
        <v>Артём</v>
      </c>
      <c r="D557" t="str">
        <f ca="1">IFERROR(__xludf.DUMMYFUNCTION("""COMPUTED_VALUE"""),"Школа 325")</f>
        <v>Школа 325</v>
      </c>
      <c r="E557" s="5"/>
      <c r="F557" s="5"/>
      <c r="G557" s="5"/>
      <c r="H557" s="5"/>
      <c r="I557" s="5"/>
      <c r="J557" s="5"/>
      <c r="K557" s="5"/>
      <c r="L557" s="5"/>
      <c r="M557">
        <f ca="1">IFERROR(__xludf.DUMMYFUNCTION("""COMPUTED_VALUE"""),0)</f>
        <v>0</v>
      </c>
      <c r="N557" s="8"/>
    </row>
    <row r="558" spans="1:14" ht="12.45" hidden="1">
      <c r="A558" t="str">
        <f ca="1">IFERROR(__xludf.DUMMYFUNCTION("""COMPUTED_VALUE"""),"III-1-138")</f>
        <v>III-1-138</v>
      </c>
      <c r="B558" t="str">
        <f ca="1">IFERROR(__xludf.DUMMYFUNCTION("""COMPUTED_VALUE"""),"Готман")</f>
        <v>Готман</v>
      </c>
      <c r="C558" t="str">
        <f ca="1">IFERROR(__xludf.DUMMYFUNCTION("""COMPUTED_VALUE"""),"Артём")</f>
        <v>Артём</v>
      </c>
      <c r="D558" t="str">
        <f ca="1">IFERROR(__xludf.DUMMYFUNCTION("""COMPUTED_VALUE"""),"Школа 407")</f>
        <v>Школа 407</v>
      </c>
      <c r="E558" s="5"/>
      <c r="F558" s="5"/>
      <c r="G558" s="5"/>
      <c r="H558" s="5"/>
      <c r="I558" s="5"/>
      <c r="J558" s="5"/>
      <c r="K558" s="5"/>
      <c r="L558" s="5"/>
      <c r="M558">
        <f ca="1">IFERROR(__xludf.DUMMYFUNCTION("""COMPUTED_VALUE"""),0)</f>
        <v>0</v>
      </c>
      <c r="N558" s="8"/>
    </row>
    <row r="559" spans="1:14" ht="12.45" hidden="1">
      <c r="A559" t="str">
        <f ca="1">IFERROR(__xludf.DUMMYFUNCTION("""COMPUTED_VALUE"""),"III-1-217")</f>
        <v>III-1-217</v>
      </c>
      <c r="B559" t="str">
        <f ca="1">IFERROR(__xludf.DUMMYFUNCTION("""COMPUTED_VALUE"""),"Капорин")</f>
        <v>Капорин</v>
      </c>
      <c r="C559" t="str">
        <f ca="1">IFERROR(__xludf.DUMMYFUNCTION("""COMPUTED_VALUE"""),"Вадим")</f>
        <v>Вадим</v>
      </c>
      <c r="D559" t="str">
        <f ca="1">IFERROR(__xludf.DUMMYFUNCTION("""COMPUTED_VALUE"""),"Школа 407")</f>
        <v>Школа 407</v>
      </c>
      <c r="E559" s="5"/>
      <c r="F559" s="5"/>
      <c r="G559" s="5"/>
      <c r="H559" s="5"/>
      <c r="I559" s="5"/>
      <c r="J559" s="5"/>
      <c r="K559" s="5"/>
      <c r="L559" s="5"/>
      <c r="M559">
        <f ca="1">IFERROR(__xludf.DUMMYFUNCTION("""COMPUTED_VALUE"""),0)</f>
        <v>0</v>
      </c>
      <c r="N559" s="8"/>
    </row>
    <row r="560" spans="1:14" ht="12.45" hidden="1">
      <c r="A560" t="str">
        <f ca="1">IFERROR(__xludf.DUMMYFUNCTION("""COMPUTED_VALUE"""),"V-1-369")</f>
        <v>V-1-369</v>
      </c>
      <c r="B560" t="str">
        <f ca="1">IFERROR(__xludf.DUMMYFUNCTION("""COMPUTED_VALUE"""),"Образцова")</f>
        <v>Образцова</v>
      </c>
      <c r="C560" t="str">
        <f ca="1">IFERROR(__xludf.DUMMYFUNCTION("""COMPUTED_VALUE"""),"Мария")</f>
        <v>Мария</v>
      </c>
      <c r="D560" t="str">
        <f ca="1">IFERROR(__xludf.DUMMYFUNCTION("""COMPUTED_VALUE"""),"Школа 407")</f>
        <v>Школа 407</v>
      </c>
      <c r="E560" s="5"/>
      <c r="F560" s="5"/>
      <c r="G560" s="5"/>
      <c r="H560" s="5"/>
      <c r="I560" s="5"/>
      <c r="J560" s="5"/>
      <c r="K560" s="5"/>
      <c r="L560" s="5"/>
      <c r="M560">
        <f ca="1">IFERROR(__xludf.DUMMYFUNCTION("""COMPUTED_VALUE"""),0)</f>
        <v>0</v>
      </c>
      <c r="N560" s="8"/>
    </row>
    <row r="561" spans="1:14" ht="12.45" hidden="1">
      <c r="A561" t="str">
        <f ca="1">IFERROR(__xludf.DUMMYFUNCTION("""COMPUTED_VALUE"""),"V-1-582")</f>
        <v>V-1-582</v>
      </c>
      <c r="B561" t="str">
        <f ca="1">IFERROR(__xludf.DUMMYFUNCTION("""COMPUTED_VALUE"""),"Чобану")</f>
        <v>Чобану</v>
      </c>
      <c r="C561" t="str">
        <f ca="1">IFERROR(__xludf.DUMMYFUNCTION("""COMPUTED_VALUE"""),"Богдан")</f>
        <v>Богдан</v>
      </c>
      <c r="D561" t="str">
        <f ca="1">IFERROR(__xludf.DUMMYFUNCTION("""COMPUTED_VALUE"""),"Школа 407")</f>
        <v>Школа 407</v>
      </c>
      <c r="E561" s="5"/>
      <c r="F561" s="5"/>
      <c r="G561" s="5"/>
      <c r="H561" s="5"/>
      <c r="I561" s="5"/>
      <c r="J561" s="5"/>
      <c r="K561" s="5"/>
      <c r="L561" s="5"/>
      <c r="M561">
        <f ca="1">IFERROR(__xludf.DUMMYFUNCTION("""COMPUTED_VALUE"""),0)</f>
        <v>0</v>
      </c>
      <c r="N561" s="8"/>
    </row>
    <row r="562" spans="1:14" ht="12.45" hidden="1">
      <c r="A562" t="str">
        <f ca="1">IFERROR(__xludf.DUMMYFUNCTION("""COMPUTED_VALUE"""),"III-1-029")</f>
        <v>III-1-029</v>
      </c>
      <c r="B562" t="str">
        <f ca="1">IFERROR(__xludf.DUMMYFUNCTION("""COMPUTED_VALUE"""),"Архипов")</f>
        <v>Архипов</v>
      </c>
      <c r="C562" t="str">
        <f ca="1">IFERROR(__xludf.DUMMYFUNCTION("""COMPUTED_VALUE"""),"Фёдор")</f>
        <v>Фёдор</v>
      </c>
      <c r="D562" t="str">
        <f ca="1">IFERROR(__xludf.DUMMYFUNCTION("""COMPUTED_VALUE"""),"Лицей 369")</f>
        <v>Лицей 369</v>
      </c>
      <c r="E562" s="5"/>
      <c r="F562" s="5"/>
      <c r="G562" s="5"/>
      <c r="H562" s="5"/>
      <c r="I562" s="5"/>
      <c r="J562" s="5"/>
      <c r="K562" s="5"/>
      <c r="L562" s="5"/>
      <c r="M562">
        <f ca="1">IFERROR(__xludf.DUMMYFUNCTION("""COMPUTED_VALUE"""),0)</f>
        <v>0</v>
      </c>
      <c r="N562" s="8"/>
    </row>
    <row r="563" spans="1:14" ht="12.45" hidden="1">
      <c r="A563" t="str">
        <f ca="1">IFERROR(__xludf.DUMMYFUNCTION("""COMPUTED_VALUE"""),"III-1-083")</f>
        <v>III-1-083</v>
      </c>
      <c r="B563" t="str">
        <f ca="1">IFERROR(__xludf.DUMMYFUNCTION("""COMPUTED_VALUE"""),"Бутенко")</f>
        <v>Бутенко</v>
      </c>
      <c r="C563" t="str">
        <f ca="1">IFERROR(__xludf.DUMMYFUNCTION("""COMPUTED_VALUE"""),"Екатерина")</f>
        <v>Екатерина</v>
      </c>
      <c r="D563" t="str">
        <f ca="1">IFERROR(__xludf.DUMMYFUNCTION("""COMPUTED_VALUE"""),"Школа 544")</f>
        <v>Школа 544</v>
      </c>
      <c r="E563" s="5"/>
      <c r="F563" s="5"/>
      <c r="G563" s="5"/>
      <c r="H563" s="5"/>
      <c r="I563" s="5"/>
      <c r="J563" s="5"/>
      <c r="K563" s="5"/>
      <c r="L563" s="5"/>
      <c r="M563">
        <f ca="1">IFERROR(__xludf.DUMMYFUNCTION("""COMPUTED_VALUE"""),0)</f>
        <v>0</v>
      </c>
      <c r="N563" s="8"/>
    </row>
    <row r="564" spans="1:14" ht="12.45" hidden="1">
      <c r="A564" t="str">
        <f ca="1">IFERROR(__xludf.DUMMYFUNCTION("""COMPUTED_VALUE"""),"III-1-109")</f>
        <v>III-1-109</v>
      </c>
      <c r="B564" t="str">
        <f ca="1">IFERROR(__xludf.DUMMYFUNCTION("""COMPUTED_VALUE"""),"Воронцов")</f>
        <v>Воронцов</v>
      </c>
      <c r="C564" t="str">
        <f ca="1">IFERROR(__xludf.DUMMYFUNCTION("""COMPUTED_VALUE"""),"Максим")</f>
        <v>Максим</v>
      </c>
      <c r="D564" t="str">
        <f ca="1">IFERROR(__xludf.DUMMYFUNCTION("""COMPUTED_VALUE"""),"Школа 544")</f>
        <v>Школа 544</v>
      </c>
      <c r="E564" s="5"/>
      <c r="F564" s="5"/>
      <c r="G564" s="5"/>
      <c r="H564" s="5"/>
      <c r="I564" s="5"/>
      <c r="J564" s="5"/>
      <c r="K564" s="5"/>
      <c r="L564" s="5"/>
      <c r="M564">
        <f ca="1">IFERROR(__xludf.DUMMYFUNCTION("""COMPUTED_VALUE"""),0)</f>
        <v>0</v>
      </c>
      <c r="N564" s="8"/>
    </row>
    <row r="565" spans="1:14" ht="12.45" hidden="1">
      <c r="A565" t="str">
        <f ca="1">IFERROR(__xludf.DUMMYFUNCTION("""COMPUTED_VALUE"""),"III-1-134")</f>
        <v>III-1-134</v>
      </c>
      <c r="B565" t="str">
        <f ca="1">IFERROR(__xludf.DUMMYFUNCTION("""COMPUTED_VALUE"""),"Горкин")</f>
        <v>Горкин</v>
      </c>
      <c r="C565" t="str">
        <f ca="1">IFERROR(__xludf.DUMMYFUNCTION("""COMPUTED_VALUE"""),"Григорий")</f>
        <v>Григорий</v>
      </c>
      <c r="D565" t="str">
        <f ca="1">IFERROR(__xludf.DUMMYFUNCTION("""COMPUTED_VALUE"""),"Школа 544")</f>
        <v>Школа 544</v>
      </c>
      <c r="E565" s="5"/>
      <c r="F565" s="5"/>
      <c r="G565" s="5"/>
      <c r="H565" s="5"/>
      <c r="I565" s="5"/>
      <c r="J565" s="5"/>
      <c r="K565" s="5"/>
      <c r="L565" s="5"/>
      <c r="M565">
        <f ca="1">IFERROR(__xludf.DUMMYFUNCTION("""COMPUTED_VALUE"""),0)</f>
        <v>0</v>
      </c>
      <c r="N565" s="8"/>
    </row>
    <row r="566" spans="1:14" ht="12.45" hidden="1">
      <c r="A566" t="str">
        <f ca="1">IFERROR(__xludf.DUMMYFUNCTION("""COMPUTED_VALUE"""),"III-1-226")</f>
        <v>III-1-226</v>
      </c>
      <c r="B566" t="str">
        <f ca="1">IFERROR(__xludf.DUMMYFUNCTION("""COMPUTED_VALUE"""),"Кендыч")</f>
        <v>Кендыч</v>
      </c>
      <c r="C566" t="str">
        <f ca="1">IFERROR(__xludf.DUMMYFUNCTION("""COMPUTED_VALUE"""),"Ксения")</f>
        <v>Ксения</v>
      </c>
      <c r="D566" t="str">
        <f ca="1">IFERROR(__xludf.DUMMYFUNCTION("""COMPUTED_VALUE"""),"Школа 544")</f>
        <v>Школа 544</v>
      </c>
      <c r="E566" s="5"/>
      <c r="F566" s="5"/>
      <c r="G566" s="5"/>
      <c r="H566" s="5"/>
      <c r="I566" s="5"/>
      <c r="J566" s="5"/>
      <c r="K566" s="5"/>
      <c r="L566" s="5"/>
      <c r="M566">
        <f ca="1">IFERROR(__xludf.DUMMYFUNCTION("""COMPUTED_VALUE"""),0)</f>
        <v>0</v>
      </c>
      <c r="N566" s="8"/>
    </row>
    <row r="567" spans="1:14" ht="12.45" hidden="1">
      <c r="A567" t="str">
        <f ca="1">IFERROR(__xludf.DUMMYFUNCTION("""COMPUTED_VALUE"""),"V-1-382")</f>
        <v>V-1-382</v>
      </c>
      <c r="B567" t="str">
        <f ca="1">IFERROR(__xludf.DUMMYFUNCTION("""COMPUTED_VALUE"""),"Осколкова")</f>
        <v>Осколкова</v>
      </c>
      <c r="C567" t="str">
        <f ca="1">IFERROR(__xludf.DUMMYFUNCTION("""COMPUTED_VALUE"""),"Анастасия")</f>
        <v>Анастасия</v>
      </c>
      <c r="D567" t="str">
        <f ca="1">IFERROR(__xludf.DUMMYFUNCTION("""COMPUTED_VALUE"""),"Школа 544")</f>
        <v>Школа 544</v>
      </c>
      <c r="E567" s="5"/>
      <c r="F567" s="5"/>
      <c r="G567" s="5"/>
      <c r="H567" s="5"/>
      <c r="I567" s="5"/>
      <c r="J567" s="5"/>
      <c r="K567" s="5"/>
      <c r="L567" s="5"/>
      <c r="M567">
        <f ca="1">IFERROR(__xludf.DUMMYFUNCTION("""COMPUTED_VALUE"""),0)</f>
        <v>0</v>
      </c>
      <c r="N567" s="8"/>
    </row>
    <row r="568" spans="1:14" ht="12.45" hidden="1">
      <c r="A568" t="str">
        <f ca="1">IFERROR(__xludf.DUMMYFUNCTION("""COMPUTED_VALUE"""),"V-1-393")</f>
        <v>V-1-393</v>
      </c>
      <c r="B568" t="str">
        <f ca="1">IFERROR(__xludf.DUMMYFUNCTION("""COMPUTED_VALUE"""),"Петров")</f>
        <v>Петров</v>
      </c>
      <c r="C568" t="str">
        <f ca="1">IFERROR(__xludf.DUMMYFUNCTION("""COMPUTED_VALUE"""),"Кирилл")</f>
        <v>Кирилл</v>
      </c>
      <c r="D568" t="str">
        <f ca="1">IFERROR(__xludf.DUMMYFUNCTION("""COMPUTED_VALUE"""),"Школа 544")</f>
        <v>Школа 544</v>
      </c>
      <c r="E568" s="5">
        <f ca="1">IFERROR(__xludf.DUMMYFUNCTION("""COMPUTED_VALUE"""),0)</f>
        <v>0</v>
      </c>
      <c r="F568" s="5"/>
      <c r="G568" s="5">
        <f ca="1">IFERROR(__xludf.DUMMYFUNCTION("""COMPUTED_VALUE"""),0)</f>
        <v>0</v>
      </c>
      <c r="H568" s="5">
        <f ca="1">IFERROR(__xludf.DUMMYFUNCTION("""COMPUTED_VALUE"""),0)</f>
        <v>0</v>
      </c>
      <c r="I568" s="5">
        <f ca="1">IFERROR(__xludf.DUMMYFUNCTION("""COMPUTED_VALUE"""),0)</f>
        <v>0</v>
      </c>
      <c r="J568" s="5">
        <f ca="1">IFERROR(__xludf.DUMMYFUNCTION("""COMPUTED_VALUE"""),0)</f>
        <v>0</v>
      </c>
      <c r="K568" s="5">
        <f ca="1">IFERROR(__xludf.DUMMYFUNCTION("""COMPUTED_VALUE"""),0)</f>
        <v>0</v>
      </c>
      <c r="L568" s="5">
        <f ca="1">IFERROR(__xludf.DUMMYFUNCTION("""COMPUTED_VALUE"""),0)</f>
        <v>0</v>
      </c>
      <c r="M568">
        <f ca="1">IFERROR(__xludf.DUMMYFUNCTION("""COMPUTED_VALUE"""),0)</f>
        <v>0</v>
      </c>
      <c r="N568" s="8"/>
    </row>
    <row r="569" spans="1:14" ht="12.45" hidden="1">
      <c r="A569" t="str">
        <f ca="1">IFERROR(__xludf.DUMMYFUNCTION("""COMPUTED_VALUE"""),"V-1-501")</f>
        <v>V-1-501</v>
      </c>
      <c r="B569" t="str">
        <f ca="1">IFERROR(__xludf.DUMMYFUNCTION("""COMPUTED_VALUE"""),"Сулоев")</f>
        <v>Сулоев</v>
      </c>
      <c r="C569" t="str">
        <f ca="1">IFERROR(__xludf.DUMMYFUNCTION("""COMPUTED_VALUE"""),"Андрей")</f>
        <v>Андрей</v>
      </c>
      <c r="D569" t="str">
        <f ca="1">IFERROR(__xludf.DUMMYFUNCTION("""COMPUTED_VALUE"""),"Школа 544")</f>
        <v>Школа 544</v>
      </c>
      <c r="E569" s="5"/>
      <c r="F569" s="5"/>
      <c r="G569" s="5"/>
      <c r="H569" s="5"/>
      <c r="I569" s="5"/>
      <c r="J569" s="5"/>
      <c r="K569" s="5"/>
      <c r="L569" s="5"/>
      <c r="M569">
        <f ca="1">IFERROR(__xludf.DUMMYFUNCTION("""COMPUTED_VALUE"""),0)</f>
        <v>0</v>
      </c>
      <c r="N569" s="8"/>
    </row>
    <row r="570" spans="1:14" ht="12.45" hidden="1">
      <c r="A570" t="str">
        <f ca="1">IFERROR(__xludf.DUMMYFUNCTION("""COMPUTED_VALUE"""),"III-1-147")</f>
        <v>III-1-147</v>
      </c>
      <c r="B570" t="str">
        <f ca="1">IFERROR(__xludf.DUMMYFUNCTION("""COMPUTED_VALUE"""),"Гусаров")</f>
        <v>Гусаров</v>
      </c>
      <c r="C570" t="str">
        <f ca="1">IFERROR(__xludf.DUMMYFUNCTION("""COMPUTED_VALUE"""),"Тимофей")</f>
        <v>Тимофей</v>
      </c>
      <c r="D570" t="str">
        <f ca="1">IFERROR(__xludf.DUMMYFUNCTION("""COMPUTED_VALUE"""),"Школа 468")</f>
        <v>Школа 468</v>
      </c>
      <c r="E570" s="5"/>
      <c r="F570" s="5"/>
      <c r="G570" s="5"/>
      <c r="H570" s="5"/>
      <c r="I570" s="5"/>
      <c r="J570" s="5"/>
      <c r="K570" s="5"/>
      <c r="L570" s="5"/>
      <c r="M570">
        <f ca="1">IFERROR(__xludf.DUMMYFUNCTION("""COMPUTED_VALUE"""),0)</f>
        <v>0</v>
      </c>
      <c r="N570" s="8"/>
    </row>
    <row r="571" spans="1:14" ht="12.45" hidden="1">
      <c r="A571" t="str">
        <f ca="1">IFERROR(__xludf.DUMMYFUNCTION("""COMPUTED_VALUE"""),"V-1-484")</f>
        <v>V-1-484</v>
      </c>
      <c r="B571" t="str">
        <f ca="1">IFERROR(__xludf.DUMMYFUNCTION("""COMPUTED_VALUE"""),"Соловьева")</f>
        <v>Соловьева</v>
      </c>
      <c r="C571" t="str">
        <f ca="1">IFERROR(__xludf.DUMMYFUNCTION("""COMPUTED_VALUE"""),"Софья")</f>
        <v>Софья</v>
      </c>
      <c r="D571" t="str">
        <f ca="1">IFERROR(__xludf.DUMMYFUNCTION("""COMPUTED_VALUE"""),"Гимназия 43")</f>
        <v>Гимназия 43</v>
      </c>
      <c r="E571" s="5"/>
      <c r="F571" s="5"/>
      <c r="G571" s="5"/>
      <c r="H571" s="5"/>
      <c r="I571" s="5"/>
      <c r="J571" s="5"/>
      <c r="K571" s="5"/>
      <c r="L571" s="5"/>
      <c r="M571">
        <f ca="1">IFERROR(__xludf.DUMMYFUNCTION("""COMPUTED_VALUE"""),0)</f>
        <v>0</v>
      </c>
      <c r="N571" s="8"/>
    </row>
    <row r="572" spans="1:14" ht="12.45" hidden="1">
      <c r="A572" t="str">
        <f ca="1">IFERROR(__xludf.DUMMYFUNCTION("""COMPUTED_VALUE"""),"V-1-527")</f>
        <v>V-1-527</v>
      </c>
      <c r="B572" t="str">
        <f ca="1">IFERROR(__xludf.DUMMYFUNCTION("""COMPUTED_VALUE"""),"Трашкова")</f>
        <v>Трашкова</v>
      </c>
      <c r="C572" t="str">
        <f ca="1">IFERROR(__xludf.DUMMYFUNCTION("""COMPUTED_VALUE"""),"Мария")</f>
        <v>Мария</v>
      </c>
      <c r="D572" t="str">
        <f ca="1">IFERROR(__xludf.DUMMYFUNCTION("""COMPUTED_VALUE"""),"Школа 43")</f>
        <v>Школа 43</v>
      </c>
      <c r="E572" s="5"/>
      <c r="F572" s="5"/>
      <c r="G572" s="5"/>
      <c r="H572" s="5"/>
      <c r="I572" s="5"/>
      <c r="J572" s="5"/>
      <c r="K572" s="5"/>
      <c r="L572" s="5"/>
      <c r="M572">
        <f ca="1">IFERROR(__xludf.DUMMYFUNCTION("""COMPUTED_VALUE"""),0)</f>
        <v>0</v>
      </c>
      <c r="N572" s="8"/>
    </row>
    <row r="573" spans="1:14" ht="12.45" hidden="1">
      <c r="A573" t="str">
        <f ca="1">IFERROR(__xludf.DUMMYFUNCTION("""COMPUTED_VALUE"""),"III-1-014")</f>
        <v>III-1-014</v>
      </c>
      <c r="B573" t="str">
        <f ca="1">IFERROR(__xludf.DUMMYFUNCTION("""COMPUTED_VALUE"""),"Алёшина")</f>
        <v>Алёшина</v>
      </c>
      <c r="C573" t="str">
        <f ca="1">IFERROR(__xludf.DUMMYFUNCTION("""COMPUTED_VALUE"""),"Варвара")</f>
        <v>Варвара</v>
      </c>
      <c r="D573" t="str">
        <f ca="1">IFERROR(__xludf.DUMMYFUNCTION("""COMPUTED_VALUE"""),"Гимназия 11")</f>
        <v>Гимназия 11</v>
      </c>
      <c r="E573" s="5"/>
      <c r="F573" s="5"/>
      <c r="G573" s="5"/>
      <c r="H573" s="5"/>
      <c r="I573" s="5"/>
      <c r="J573" s="5"/>
      <c r="K573" s="5"/>
      <c r="L573" s="5"/>
      <c r="M573">
        <f ca="1">IFERROR(__xludf.DUMMYFUNCTION("""COMPUTED_VALUE"""),0)</f>
        <v>0</v>
      </c>
      <c r="N573" s="8"/>
    </row>
    <row r="574" spans="1:14" ht="12.45" hidden="1">
      <c r="A574" t="str">
        <f ca="1">IFERROR(__xludf.DUMMYFUNCTION("""COMPUTED_VALUE"""),"III-1-185")</f>
        <v>III-1-185</v>
      </c>
      <c r="B574" t="str">
        <f ca="1">IFERROR(__xludf.DUMMYFUNCTION("""COMPUTED_VALUE"""),"Завьялова")</f>
        <v>Завьялова</v>
      </c>
      <c r="C574" t="str">
        <f ca="1">IFERROR(__xludf.DUMMYFUNCTION("""COMPUTED_VALUE"""),"Юлия")</f>
        <v>Юлия</v>
      </c>
      <c r="D574" t="str">
        <f ca="1">IFERROR(__xludf.DUMMYFUNCTION("""COMPUTED_VALUE"""),"Гимназия 11")</f>
        <v>Гимназия 11</v>
      </c>
      <c r="E574" s="5"/>
      <c r="F574" s="5"/>
      <c r="G574" s="5"/>
      <c r="H574" s="5"/>
      <c r="I574" s="5"/>
      <c r="J574" s="5"/>
      <c r="K574" s="5"/>
      <c r="L574" s="5"/>
      <c r="M574">
        <f ca="1">IFERROR(__xludf.DUMMYFUNCTION("""COMPUTED_VALUE"""),0)</f>
        <v>0</v>
      </c>
      <c r="N574" s="8"/>
    </row>
    <row r="575" spans="1:14" ht="12.45" hidden="1">
      <c r="A575" t="str">
        <f ca="1">IFERROR(__xludf.DUMMYFUNCTION("""COMPUTED_VALUE"""),"III-1-208")</f>
        <v>III-1-208</v>
      </c>
      <c r="B575" t="str">
        <f ca="1">IFERROR(__xludf.DUMMYFUNCTION("""COMPUTED_VALUE"""),"Игнатенко")</f>
        <v>Игнатенко</v>
      </c>
      <c r="C575" t="str">
        <f ca="1">IFERROR(__xludf.DUMMYFUNCTION("""COMPUTED_VALUE"""),"Тимофей")</f>
        <v>Тимофей</v>
      </c>
      <c r="D575" t="str">
        <f ca="1">IFERROR(__xludf.DUMMYFUNCTION("""COMPUTED_VALUE"""),"Гимназия 11")</f>
        <v>Гимназия 11</v>
      </c>
      <c r="E575" s="5"/>
      <c r="F575" s="5"/>
      <c r="G575" s="5"/>
      <c r="H575" s="5"/>
      <c r="I575" s="5"/>
      <c r="J575" s="5"/>
      <c r="K575" s="5"/>
      <c r="L575" s="5"/>
      <c r="M575">
        <f ca="1">IFERROR(__xludf.DUMMYFUNCTION("""COMPUTED_VALUE"""),0)</f>
        <v>0</v>
      </c>
      <c r="N575" s="8"/>
    </row>
    <row r="576" spans="1:14" ht="12.45" hidden="1">
      <c r="A576" t="str">
        <f ca="1">IFERROR(__xludf.DUMMYFUNCTION("""COMPUTED_VALUE"""),"III-1-210")</f>
        <v>III-1-210</v>
      </c>
      <c r="B576" t="str">
        <f ca="1">IFERROR(__xludf.DUMMYFUNCTION("""COMPUTED_VALUE"""),"Ильяшевич")</f>
        <v>Ильяшевич</v>
      </c>
      <c r="C576" t="str">
        <f ca="1">IFERROR(__xludf.DUMMYFUNCTION("""COMPUTED_VALUE"""),"Кирилл")</f>
        <v>Кирилл</v>
      </c>
      <c r="D576" t="str">
        <f ca="1">IFERROR(__xludf.DUMMYFUNCTION("""COMPUTED_VALUE"""),"Гимназия 11")</f>
        <v>Гимназия 11</v>
      </c>
      <c r="E576" s="5"/>
      <c r="F576" s="5"/>
      <c r="G576" s="5"/>
      <c r="H576" s="5"/>
      <c r="I576" s="5"/>
      <c r="J576" s="5"/>
      <c r="K576" s="5"/>
      <c r="L576" s="5"/>
      <c r="M576">
        <f ca="1">IFERROR(__xludf.DUMMYFUNCTION("""COMPUTED_VALUE"""),0)</f>
        <v>0</v>
      </c>
      <c r="N576" s="8"/>
    </row>
    <row r="577" spans="1:14" ht="12.45" hidden="1">
      <c r="A577" t="str">
        <f ca="1">IFERROR(__xludf.DUMMYFUNCTION("""COMPUTED_VALUE"""),"V-1-377")</f>
        <v>V-1-377</v>
      </c>
      <c r="B577" t="str">
        <f ca="1">IFERROR(__xludf.DUMMYFUNCTION("""COMPUTED_VALUE"""),"Орлов")</f>
        <v>Орлов</v>
      </c>
      <c r="C577" t="str">
        <f ca="1">IFERROR(__xludf.DUMMYFUNCTION("""COMPUTED_VALUE"""),"Дмитрий")</f>
        <v>Дмитрий</v>
      </c>
      <c r="D577" t="str">
        <f ca="1">IFERROR(__xludf.DUMMYFUNCTION("""COMPUTED_VALUE"""),"Гимназия 11")</f>
        <v>Гимназия 11</v>
      </c>
      <c r="E577" s="5"/>
      <c r="F577" s="5"/>
      <c r="G577" s="5"/>
      <c r="H577" s="5"/>
      <c r="I577" s="5"/>
      <c r="J577" s="5"/>
      <c r="K577" s="5"/>
      <c r="L577" s="5"/>
      <c r="M577">
        <f ca="1">IFERROR(__xludf.DUMMYFUNCTION("""COMPUTED_VALUE"""),0)</f>
        <v>0</v>
      </c>
      <c r="N577" s="8"/>
    </row>
    <row r="578" spans="1:14" ht="12.45" hidden="1">
      <c r="A578" t="str">
        <f ca="1">IFERROR(__xludf.DUMMYFUNCTION("""COMPUTED_VALUE"""),"V-1-409")</f>
        <v>V-1-409</v>
      </c>
      <c r="B578" t="str">
        <f ca="1">IFERROR(__xludf.DUMMYFUNCTION("""COMPUTED_VALUE"""),"Поздышева")</f>
        <v>Поздышева</v>
      </c>
      <c r="C578" t="str">
        <f ca="1">IFERROR(__xludf.DUMMYFUNCTION("""COMPUTED_VALUE"""),"Анастасия")</f>
        <v>Анастасия</v>
      </c>
      <c r="D578" t="str">
        <f ca="1">IFERROR(__xludf.DUMMYFUNCTION("""COMPUTED_VALUE"""),"Гимназия 11")</f>
        <v>Гимназия 11</v>
      </c>
      <c r="E578" s="5"/>
      <c r="F578" s="5"/>
      <c r="G578" s="5"/>
      <c r="H578" s="5"/>
      <c r="I578" s="5"/>
      <c r="J578" s="5"/>
      <c r="K578" s="5"/>
      <c r="L578" s="5"/>
      <c r="M578">
        <f ca="1">IFERROR(__xludf.DUMMYFUNCTION("""COMPUTED_VALUE"""),0)</f>
        <v>0</v>
      </c>
      <c r="N578" s="8"/>
    </row>
    <row r="579" spans="1:14" ht="12.45" hidden="1">
      <c r="A579" t="str">
        <f ca="1">IFERROR(__xludf.DUMMYFUNCTION("""COMPUTED_VALUE"""),"V-1-533")</f>
        <v>V-1-533</v>
      </c>
      <c r="B579" t="str">
        <f ca="1">IFERROR(__xludf.DUMMYFUNCTION("""COMPUTED_VALUE"""),"Усимова")</f>
        <v>Усимова</v>
      </c>
      <c r="C579" t="str">
        <f ca="1">IFERROR(__xludf.DUMMYFUNCTION("""COMPUTED_VALUE"""),"Василиса")</f>
        <v>Василиса</v>
      </c>
      <c r="D579" t="str">
        <f ca="1">IFERROR(__xludf.DUMMYFUNCTION("""COMPUTED_VALUE"""),"Гимназия 11")</f>
        <v>Гимназия 11</v>
      </c>
      <c r="E579" s="5"/>
      <c r="F579" s="5"/>
      <c r="G579" s="5"/>
      <c r="H579" s="5"/>
      <c r="I579" s="5"/>
      <c r="J579" s="5"/>
      <c r="K579" s="5"/>
      <c r="L579" s="5"/>
      <c r="M579">
        <f ca="1">IFERROR(__xludf.DUMMYFUNCTION("""COMPUTED_VALUE"""),0)</f>
        <v>0</v>
      </c>
      <c r="N579" s="8"/>
    </row>
    <row r="580" spans="1:14" ht="12.45" hidden="1">
      <c r="A580" t="str">
        <f ca="1">IFERROR(__xludf.DUMMYFUNCTION("""COMPUTED_VALUE"""),"III-1-071")</f>
        <v>III-1-071</v>
      </c>
      <c r="B580" t="str">
        <f ca="1">IFERROR(__xludf.DUMMYFUNCTION("""COMPUTED_VALUE"""),"Бородич")</f>
        <v>Бородич</v>
      </c>
      <c r="C580" t="str">
        <f ca="1">IFERROR(__xludf.DUMMYFUNCTION("""COMPUTED_VALUE"""),"Кристина")</f>
        <v>Кристина</v>
      </c>
      <c r="D580" t="str">
        <f ca="1">IFERROR(__xludf.DUMMYFUNCTION("""COMPUTED_VALUE"""),"Гимназия 446")</f>
        <v>Гимназия 446</v>
      </c>
      <c r="E580" s="5"/>
      <c r="F580" s="5"/>
      <c r="G580" s="5"/>
      <c r="H580" s="5"/>
      <c r="I580" s="5"/>
      <c r="J580" s="5"/>
      <c r="K580" s="5"/>
      <c r="L580" s="5"/>
      <c r="M580">
        <f ca="1">IFERROR(__xludf.DUMMYFUNCTION("""COMPUTED_VALUE"""),0)</f>
        <v>0</v>
      </c>
      <c r="N580" s="8"/>
    </row>
    <row r="581" spans="1:14" ht="12.45" hidden="1">
      <c r="A581" t="str">
        <f ca="1">IFERROR(__xludf.DUMMYFUNCTION("""COMPUTED_VALUE"""),"III-1-200")</f>
        <v>III-1-200</v>
      </c>
      <c r="B581" t="str">
        <f ca="1">IFERROR(__xludf.DUMMYFUNCTION("""COMPUTED_VALUE"""),"Иванов")</f>
        <v>Иванов</v>
      </c>
      <c r="C581" t="str">
        <f ca="1">IFERROR(__xludf.DUMMYFUNCTION("""COMPUTED_VALUE"""),"Арсений")</f>
        <v>Арсений</v>
      </c>
      <c r="D581" t="str">
        <f ca="1">IFERROR(__xludf.DUMMYFUNCTION("""COMPUTED_VALUE"""),"Гимназия 446")</f>
        <v>Гимназия 446</v>
      </c>
      <c r="E581" s="5"/>
      <c r="F581" s="5"/>
      <c r="G581" s="5"/>
      <c r="H581" s="5"/>
      <c r="I581" s="5"/>
      <c r="J581" s="5"/>
      <c r="K581" s="5"/>
      <c r="L581" s="5"/>
      <c r="M581">
        <f ca="1">IFERROR(__xludf.DUMMYFUNCTION("""COMPUTED_VALUE"""),0)</f>
        <v>0</v>
      </c>
      <c r="N581" s="8"/>
    </row>
    <row r="582" spans="1:14" ht="12.45" hidden="1">
      <c r="A582" t="str">
        <f ca="1">IFERROR(__xludf.DUMMYFUNCTION("""COMPUTED_VALUE"""),"III-1-255")</f>
        <v>III-1-255</v>
      </c>
      <c r="B582" t="str">
        <f ca="1">IFERROR(__xludf.DUMMYFUNCTION("""COMPUTED_VALUE"""),"Косивцов")</f>
        <v>Косивцов</v>
      </c>
      <c r="C582" t="str">
        <f ca="1">IFERROR(__xludf.DUMMYFUNCTION("""COMPUTED_VALUE"""),"Фёдор")</f>
        <v>Фёдор</v>
      </c>
      <c r="D582" t="str">
        <f ca="1">IFERROR(__xludf.DUMMYFUNCTION("""COMPUTED_VALUE"""),"Гимназия 446")</f>
        <v>Гимназия 446</v>
      </c>
      <c r="E582" s="5"/>
      <c r="F582" s="5"/>
      <c r="G582" s="5"/>
      <c r="H582" s="5"/>
      <c r="I582" s="5"/>
      <c r="J582" s="5"/>
      <c r="K582" s="5"/>
      <c r="L582" s="5"/>
      <c r="M582">
        <f ca="1">IFERROR(__xludf.DUMMYFUNCTION("""COMPUTED_VALUE"""),0)</f>
        <v>0</v>
      </c>
      <c r="N582" s="8"/>
    </row>
    <row r="583" spans="1:14" ht="12.45" hidden="1">
      <c r="A583" t="str">
        <f ca="1">IFERROR(__xludf.DUMMYFUNCTION("""COMPUTED_VALUE"""),"V-1-329")</f>
        <v>V-1-329</v>
      </c>
      <c r="B583" t="str">
        <f ca="1">IFERROR(__xludf.DUMMYFUNCTION("""COMPUTED_VALUE"""),"Михайлов")</f>
        <v>Михайлов</v>
      </c>
      <c r="C583" t="str">
        <f ca="1">IFERROR(__xludf.DUMMYFUNCTION("""COMPUTED_VALUE"""),"Кирилл")</f>
        <v>Кирилл</v>
      </c>
      <c r="D583" t="str">
        <f ca="1">IFERROR(__xludf.DUMMYFUNCTION("""COMPUTED_VALUE"""),"Гимназия 446")</f>
        <v>Гимназия 446</v>
      </c>
      <c r="E583" s="5"/>
      <c r="F583" s="5"/>
      <c r="G583" s="5"/>
      <c r="H583" s="5"/>
      <c r="I583" s="5"/>
      <c r="J583" s="5"/>
      <c r="K583" s="5"/>
      <c r="L583" s="5"/>
      <c r="M583">
        <f ca="1">IFERROR(__xludf.DUMMYFUNCTION("""COMPUTED_VALUE"""),0)</f>
        <v>0</v>
      </c>
      <c r="N583" s="8"/>
    </row>
    <row r="584" spans="1:14" ht="12.45" hidden="1">
      <c r="A584" t="str">
        <f ca="1">IFERROR(__xludf.DUMMYFUNCTION("""COMPUTED_VALUE"""),"V-1-566")</f>
        <v>V-1-566</v>
      </c>
      <c r="B584" t="str">
        <f ca="1">IFERROR(__xludf.DUMMYFUNCTION("""COMPUTED_VALUE"""),"Хоменко")</f>
        <v>Хоменко</v>
      </c>
      <c r="C584" t="str">
        <f ca="1">IFERROR(__xludf.DUMMYFUNCTION("""COMPUTED_VALUE"""),"Дмитрий")</f>
        <v>Дмитрий</v>
      </c>
      <c r="D584" t="str">
        <f ca="1">IFERROR(__xludf.DUMMYFUNCTION("""COMPUTED_VALUE"""),"Гимназия 446")</f>
        <v>Гимназия 446</v>
      </c>
      <c r="E584" s="5"/>
      <c r="F584" s="5"/>
      <c r="G584" s="5"/>
      <c r="H584" s="5"/>
      <c r="I584" s="5"/>
      <c r="J584" s="5"/>
      <c r="K584" s="5"/>
      <c r="L584" s="5"/>
      <c r="M584">
        <f ca="1">IFERROR(__xludf.DUMMYFUNCTION("""COMPUTED_VALUE"""),0)</f>
        <v>0</v>
      </c>
      <c r="N584" s="8"/>
    </row>
    <row r="585" spans="1:14" ht="12.45" hidden="1">
      <c r="A585" t="str">
        <f ca="1">IFERROR(__xludf.DUMMYFUNCTION("""COMPUTED_VALUE"""),"III-1-153")</f>
        <v>III-1-153</v>
      </c>
      <c r="B585" t="str">
        <f ca="1">IFERROR(__xludf.DUMMYFUNCTION("""COMPUTED_VALUE"""),"Данилов")</f>
        <v>Данилов</v>
      </c>
      <c r="C585" t="str">
        <f ca="1">IFERROR(__xludf.DUMMYFUNCTION("""COMPUTED_VALUE"""),"Марк")</f>
        <v>Марк</v>
      </c>
      <c r="D585" t="str">
        <f ca="1">IFERROR(__xludf.DUMMYFUNCTION("""COMPUTED_VALUE"""),"Школа 655")</f>
        <v>Школа 655</v>
      </c>
      <c r="E585" s="5"/>
      <c r="F585" s="5"/>
      <c r="G585" s="5"/>
      <c r="H585" s="5"/>
      <c r="I585" s="5"/>
      <c r="J585" s="5"/>
      <c r="K585" s="5"/>
      <c r="L585" s="5"/>
      <c r="M585">
        <f ca="1">IFERROR(__xludf.DUMMYFUNCTION("""COMPUTED_VALUE"""),0)</f>
        <v>0</v>
      </c>
      <c r="N585" s="8"/>
    </row>
    <row r="586" spans="1:14" ht="12.45" hidden="1">
      <c r="A586" t="str">
        <f ca="1">IFERROR(__xludf.DUMMYFUNCTION("""COMPUTED_VALUE"""),"V-1-539")</f>
        <v>V-1-539</v>
      </c>
      <c r="B586" t="str">
        <f ca="1">IFERROR(__xludf.DUMMYFUNCTION("""COMPUTED_VALUE"""),"Федин")</f>
        <v>Федин</v>
      </c>
      <c r="C586" t="str">
        <f ca="1">IFERROR(__xludf.DUMMYFUNCTION("""COMPUTED_VALUE"""),"Никита")</f>
        <v>Никита</v>
      </c>
      <c r="D586" t="str">
        <f ca="1">IFERROR(__xludf.DUMMYFUNCTION("""COMPUTED_VALUE"""),"Школа 655")</f>
        <v>Школа 655</v>
      </c>
      <c r="E586" s="5"/>
      <c r="F586" s="5"/>
      <c r="G586" s="5"/>
      <c r="H586" s="5"/>
      <c r="I586" s="5"/>
      <c r="J586" s="5"/>
      <c r="K586" s="5"/>
      <c r="L586" s="5"/>
      <c r="M586">
        <f ca="1">IFERROR(__xludf.DUMMYFUNCTION("""COMPUTED_VALUE"""),0)</f>
        <v>0</v>
      </c>
      <c r="N586" s="8"/>
    </row>
    <row r="587" spans="1:14" ht="12.45" hidden="1">
      <c r="A587" t="str">
        <f ca="1">IFERROR(__xludf.DUMMYFUNCTION("""COMPUTED_VALUE"""),"III-1-196")</f>
        <v>III-1-196</v>
      </c>
      <c r="B587" t="str">
        <f ca="1">IFERROR(__xludf.DUMMYFUNCTION("""COMPUTED_VALUE"""),"Зуев")</f>
        <v>Зуев</v>
      </c>
      <c r="C587" t="str">
        <f ca="1">IFERROR(__xludf.DUMMYFUNCTION("""COMPUTED_VALUE"""),"Константин")</f>
        <v>Константин</v>
      </c>
      <c r="D587" t="str">
        <f ca="1">IFERROR(__xludf.DUMMYFUNCTION("""COMPUTED_VALUE"""),"Гимназия 63")</f>
        <v>Гимназия 63</v>
      </c>
      <c r="E587" s="5"/>
      <c r="F587" s="5"/>
      <c r="G587" s="5"/>
      <c r="H587" s="5"/>
      <c r="I587" s="5"/>
      <c r="J587" s="5"/>
      <c r="K587" s="5"/>
      <c r="L587" s="5"/>
      <c r="M587">
        <f ca="1">IFERROR(__xludf.DUMMYFUNCTION("""COMPUTED_VALUE"""),0)</f>
        <v>0</v>
      </c>
      <c r="N587" s="8"/>
    </row>
    <row r="588" spans="1:14" ht="12.45" hidden="1">
      <c r="A588" t="str">
        <f ca="1">IFERROR(__xludf.DUMMYFUNCTION("""COMPUTED_VALUE"""),"V-1-510")</f>
        <v>V-1-510</v>
      </c>
      <c r="B588" t="str">
        <f ca="1">IFERROR(__xludf.DUMMYFUNCTION("""COMPUTED_VALUE"""),"Тамошкина")</f>
        <v>Тамошкина</v>
      </c>
      <c r="C588" t="str">
        <f ca="1">IFERROR(__xludf.DUMMYFUNCTION("""COMPUTED_VALUE"""),"Ярослава")</f>
        <v>Ярослава</v>
      </c>
      <c r="D588" t="str">
        <f ca="1">IFERROR(__xludf.DUMMYFUNCTION("""COMPUTED_VALUE"""),"Школа 80")</f>
        <v>Школа 80</v>
      </c>
      <c r="E588" s="5"/>
      <c r="F588" s="5"/>
      <c r="G588" s="5"/>
      <c r="H588" s="5"/>
      <c r="I588" s="5"/>
      <c r="J588" s="5"/>
      <c r="K588" s="5"/>
      <c r="L588" s="5"/>
      <c r="M588">
        <f ca="1">IFERROR(__xludf.DUMMYFUNCTION("""COMPUTED_VALUE"""),0)</f>
        <v>0</v>
      </c>
      <c r="N588" s="8"/>
    </row>
    <row r="589" spans="1:14" ht="12.45" hidden="1">
      <c r="A589" t="str">
        <f ca="1">IFERROR(__xludf.DUMMYFUNCTION("""COMPUTED_VALUE"""),"III-1-026")</f>
        <v>III-1-026</v>
      </c>
      <c r="B589" t="str">
        <f ca="1">IFERROR(__xludf.DUMMYFUNCTION("""COMPUTED_VALUE"""),"Анфимов")</f>
        <v>Анфимов</v>
      </c>
      <c r="C589" t="str">
        <f ca="1">IFERROR(__xludf.DUMMYFUNCTION("""COMPUTED_VALUE"""),"Ярослав")</f>
        <v>Ярослав</v>
      </c>
      <c r="D589" t="str">
        <f ca="1">IFERROR(__xludf.DUMMYFUNCTION("""COMPUTED_VALUE"""),"Школа 482")</f>
        <v>Школа 482</v>
      </c>
      <c r="E589" s="5"/>
      <c r="F589" s="5"/>
      <c r="G589" s="5"/>
      <c r="H589" s="5"/>
      <c r="I589" s="5"/>
      <c r="J589" s="5"/>
      <c r="K589" s="5"/>
      <c r="L589" s="5"/>
      <c r="M589">
        <f ca="1">IFERROR(__xludf.DUMMYFUNCTION("""COMPUTED_VALUE"""),0)</f>
        <v>0</v>
      </c>
      <c r="N589" s="8"/>
    </row>
    <row r="590" spans="1:14" ht="12.45" hidden="1">
      <c r="A590" t="str">
        <f ca="1">IFERROR(__xludf.DUMMYFUNCTION("""COMPUTED_VALUE"""),"III-1-033")</f>
        <v>III-1-033</v>
      </c>
      <c r="B590" t="str">
        <f ca="1">IFERROR(__xludf.DUMMYFUNCTION("""COMPUTED_VALUE"""),"Афанасьева")</f>
        <v>Афанасьева</v>
      </c>
      <c r="C590" t="str">
        <f ca="1">IFERROR(__xludf.DUMMYFUNCTION("""COMPUTED_VALUE"""),"Варвара")</f>
        <v>Варвара</v>
      </c>
      <c r="D590" t="str">
        <f ca="1">IFERROR(__xludf.DUMMYFUNCTION("""COMPUTED_VALUE"""),"Школа 482")</f>
        <v>Школа 482</v>
      </c>
      <c r="E590" s="5"/>
      <c r="F590" s="5"/>
      <c r="G590" s="5"/>
      <c r="H590" s="5"/>
      <c r="I590" s="5"/>
      <c r="J590" s="5"/>
      <c r="K590" s="5"/>
      <c r="L590" s="5"/>
      <c r="M590">
        <f ca="1">IFERROR(__xludf.DUMMYFUNCTION("""COMPUTED_VALUE"""),0)</f>
        <v>0</v>
      </c>
      <c r="N590" s="8"/>
    </row>
    <row r="591" spans="1:14" ht="12.45" hidden="1">
      <c r="A591" t="str">
        <f ca="1">IFERROR(__xludf.DUMMYFUNCTION("""COMPUTED_VALUE"""),"III-1-097")</f>
        <v>III-1-097</v>
      </c>
      <c r="B591" t="str">
        <f ca="1">IFERROR(__xludf.DUMMYFUNCTION("""COMPUTED_VALUE"""),"Везикко")</f>
        <v>Везикко</v>
      </c>
      <c r="C591" t="str">
        <f ca="1">IFERROR(__xludf.DUMMYFUNCTION("""COMPUTED_VALUE"""),"Степан")</f>
        <v>Степан</v>
      </c>
      <c r="D591" t="str">
        <f ca="1">IFERROR(__xludf.DUMMYFUNCTION("""COMPUTED_VALUE"""),"Школа 482")</f>
        <v>Школа 482</v>
      </c>
      <c r="E591" s="5"/>
      <c r="F591" s="5"/>
      <c r="G591" s="5"/>
      <c r="H591" s="5"/>
      <c r="I591" s="5"/>
      <c r="J591" s="5"/>
      <c r="K591" s="5"/>
      <c r="L591" s="5"/>
      <c r="M591">
        <f ca="1">IFERROR(__xludf.DUMMYFUNCTION("""COMPUTED_VALUE"""),0)</f>
        <v>0</v>
      </c>
      <c r="N591" s="8"/>
    </row>
    <row r="592" spans="1:14" ht="12.45" hidden="1">
      <c r="A592" t="str">
        <f ca="1">IFERROR(__xludf.DUMMYFUNCTION("""COMPUTED_VALUE"""),"III-1-141")</f>
        <v>III-1-141</v>
      </c>
      <c r="B592" t="str">
        <f ca="1">IFERROR(__xludf.DUMMYFUNCTION("""COMPUTED_VALUE"""),"Гришечко")</f>
        <v>Гришечко</v>
      </c>
      <c r="C592" t="str">
        <f ca="1">IFERROR(__xludf.DUMMYFUNCTION("""COMPUTED_VALUE"""),"Кристина")</f>
        <v>Кристина</v>
      </c>
      <c r="D592" t="str">
        <f ca="1">IFERROR(__xludf.DUMMYFUNCTION("""COMPUTED_VALUE"""),"Школа 482")</f>
        <v>Школа 482</v>
      </c>
      <c r="E592" s="5"/>
      <c r="F592" s="5"/>
      <c r="G592" s="5"/>
      <c r="H592" s="5"/>
      <c r="I592" s="5"/>
      <c r="J592" s="5"/>
      <c r="K592" s="5"/>
      <c r="L592" s="5"/>
      <c r="M592">
        <f ca="1">IFERROR(__xludf.DUMMYFUNCTION("""COMPUTED_VALUE"""),0)</f>
        <v>0</v>
      </c>
      <c r="N592" s="8"/>
    </row>
    <row r="593" spans="1:14" ht="12.45" hidden="1">
      <c r="A593" t="str">
        <f ca="1">IFERROR(__xludf.DUMMYFUNCTION("""COMPUTED_VALUE"""),"III-1-172")</f>
        <v>III-1-172</v>
      </c>
      <c r="B593" t="str">
        <f ca="1">IFERROR(__xludf.DUMMYFUNCTION("""COMPUTED_VALUE"""),"Евсегнеев")</f>
        <v>Евсегнеев</v>
      </c>
      <c r="C593" t="str">
        <f ca="1">IFERROR(__xludf.DUMMYFUNCTION("""COMPUTED_VALUE"""),"Алексей")</f>
        <v>Алексей</v>
      </c>
      <c r="D593" t="str">
        <f ca="1">IFERROR(__xludf.DUMMYFUNCTION("""COMPUTED_VALUE"""),"Школа 482")</f>
        <v>Школа 482</v>
      </c>
      <c r="E593" s="5"/>
      <c r="F593" s="5"/>
      <c r="G593" s="5"/>
      <c r="H593" s="5"/>
      <c r="I593" s="5"/>
      <c r="J593" s="5"/>
      <c r="K593" s="5"/>
      <c r="L593" s="5"/>
      <c r="M593">
        <f ca="1">IFERROR(__xludf.DUMMYFUNCTION("""COMPUTED_VALUE"""),0)</f>
        <v>0</v>
      </c>
      <c r="N593" s="8"/>
    </row>
    <row r="594" spans="1:14" ht="12.45" hidden="1">
      <c r="A594" t="str">
        <f ca="1">IFERROR(__xludf.DUMMYFUNCTION("""COMPUTED_VALUE"""),"V-1-308")</f>
        <v>V-1-308</v>
      </c>
      <c r="B594" t="str">
        <f ca="1">IFERROR(__xludf.DUMMYFUNCTION("""COMPUTED_VALUE"""),"Малашкевич")</f>
        <v>Малашкевич</v>
      </c>
      <c r="C594" t="str">
        <f ca="1">IFERROR(__xludf.DUMMYFUNCTION("""COMPUTED_VALUE"""),"София")</f>
        <v>София</v>
      </c>
      <c r="D594" t="str">
        <f ca="1">IFERROR(__xludf.DUMMYFUNCTION("""COMPUTED_VALUE"""),"Школа 482")</f>
        <v>Школа 482</v>
      </c>
      <c r="E594" s="5"/>
      <c r="F594" s="5"/>
      <c r="G594" s="5"/>
      <c r="H594" s="5"/>
      <c r="I594" s="5"/>
      <c r="J594" s="5"/>
      <c r="K594" s="5"/>
      <c r="L594" s="5"/>
      <c r="M594">
        <f ca="1">IFERROR(__xludf.DUMMYFUNCTION("""COMPUTED_VALUE"""),0)</f>
        <v>0</v>
      </c>
      <c r="N594" s="8"/>
    </row>
    <row r="595" spans="1:14" ht="12.45" hidden="1">
      <c r="A595" t="str">
        <f ca="1">IFERROR(__xludf.DUMMYFUNCTION("""COMPUTED_VALUE"""),"V-1-418")</f>
        <v>V-1-418</v>
      </c>
      <c r="B595" t="str">
        <f ca="1">IFERROR(__xludf.DUMMYFUNCTION("""COMPUTED_VALUE"""),"Постнова")</f>
        <v>Постнова</v>
      </c>
      <c r="C595" t="str">
        <f ca="1">IFERROR(__xludf.DUMMYFUNCTION("""COMPUTED_VALUE"""),"Ульяна")</f>
        <v>Ульяна</v>
      </c>
      <c r="D595" t="str">
        <f ca="1">IFERROR(__xludf.DUMMYFUNCTION("""COMPUTED_VALUE"""),"Школа 482")</f>
        <v>Школа 482</v>
      </c>
      <c r="E595" s="5"/>
      <c r="F595" s="5"/>
      <c r="G595" s="5"/>
      <c r="H595" s="5"/>
      <c r="I595" s="5"/>
      <c r="J595" s="5"/>
      <c r="K595" s="5"/>
      <c r="L595" s="5"/>
      <c r="M595">
        <f ca="1">IFERROR(__xludf.DUMMYFUNCTION("""COMPUTED_VALUE"""),0)</f>
        <v>0</v>
      </c>
      <c r="N595" s="8"/>
    </row>
    <row r="596" spans="1:14" ht="12.45" hidden="1">
      <c r="A596" t="str">
        <f ca="1">IFERROR(__xludf.DUMMYFUNCTION("""COMPUTED_VALUE"""),"V-1-441")</f>
        <v>V-1-441</v>
      </c>
      <c r="B596" t="str">
        <f ca="1">IFERROR(__xludf.DUMMYFUNCTION("""COMPUTED_VALUE"""),"Розовел")</f>
        <v>Розовел</v>
      </c>
      <c r="C596" t="str">
        <f ca="1">IFERROR(__xludf.DUMMYFUNCTION("""COMPUTED_VALUE"""),"Милена")</f>
        <v>Милена</v>
      </c>
      <c r="D596" t="str">
        <f ca="1">IFERROR(__xludf.DUMMYFUNCTION("""COMPUTED_VALUE"""),"Школа 482")</f>
        <v>Школа 482</v>
      </c>
      <c r="E596" s="5"/>
      <c r="F596" s="5"/>
      <c r="G596" s="5"/>
      <c r="H596" s="5"/>
      <c r="I596" s="5"/>
      <c r="J596" s="5"/>
      <c r="K596" s="5"/>
      <c r="L596" s="5"/>
      <c r="M596">
        <f ca="1">IFERROR(__xludf.DUMMYFUNCTION("""COMPUTED_VALUE"""),0)</f>
        <v>0</v>
      </c>
      <c r="N596" s="8"/>
    </row>
    <row r="597" spans="1:14" ht="12.45" hidden="1">
      <c r="A597" t="str">
        <f ca="1">IFERROR(__xludf.DUMMYFUNCTION("""COMPUTED_VALUE"""),"V-1-456")</f>
        <v>V-1-456</v>
      </c>
      <c r="B597" t="str">
        <f ca="1">IFERROR(__xludf.DUMMYFUNCTION("""COMPUTED_VALUE"""),"Самарин")</f>
        <v>Самарин</v>
      </c>
      <c r="C597" t="str">
        <f ca="1">IFERROR(__xludf.DUMMYFUNCTION("""COMPUTED_VALUE"""),"Александр")</f>
        <v>Александр</v>
      </c>
      <c r="D597" t="str">
        <f ca="1">IFERROR(__xludf.DUMMYFUNCTION("""COMPUTED_VALUE"""),"Школа 482")</f>
        <v>Школа 482</v>
      </c>
      <c r="E597" s="5"/>
      <c r="F597" s="5"/>
      <c r="G597" s="5"/>
      <c r="H597" s="5"/>
      <c r="I597" s="5"/>
      <c r="J597" s="5"/>
      <c r="K597" s="5"/>
      <c r="L597" s="5"/>
      <c r="M597">
        <f ca="1">IFERROR(__xludf.DUMMYFUNCTION("""COMPUTED_VALUE"""),0)</f>
        <v>0</v>
      </c>
      <c r="N597" s="8"/>
    </row>
    <row r="598" spans="1:14" ht="12.45" hidden="1">
      <c r="A598" t="str">
        <f ca="1">IFERROR(__xludf.DUMMYFUNCTION("""COMPUTED_VALUE"""),"V-1-486")</f>
        <v>V-1-486</v>
      </c>
      <c r="B598" t="str">
        <f ca="1">IFERROR(__xludf.DUMMYFUNCTION("""COMPUTED_VALUE"""),"Солошенко")</f>
        <v>Солошенко</v>
      </c>
      <c r="C598" t="str">
        <f ca="1">IFERROR(__xludf.DUMMYFUNCTION("""COMPUTED_VALUE"""),"Александр")</f>
        <v>Александр</v>
      </c>
      <c r="D598" t="str">
        <f ca="1">IFERROR(__xludf.DUMMYFUNCTION("""COMPUTED_VALUE"""),"Школа 482")</f>
        <v>Школа 482</v>
      </c>
      <c r="E598" s="5"/>
      <c r="F598" s="5"/>
      <c r="G598" s="5"/>
      <c r="H598" s="5"/>
      <c r="I598" s="5"/>
      <c r="J598" s="5"/>
      <c r="K598" s="5"/>
      <c r="L598" s="5"/>
      <c r="M598">
        <f ca="1">IFERROR(__xludf.DUMMYFUNCTION("""COMPUTED_VALUE"""),0)</f>
        <v>0</v>
      </c>
      <c r="N598" s="8"/>
    </row>
    <row r="599" spans="1:14" ht="12.45" hidden="1">
      <c r="A599" t="str">
        <f ca="1">IFERROR(__xludf.DUMMYFUNCTION("""COMPUTED_VALUE"""),"III-1-158")</f>
        <v>III-1-158</v>
      </c>
      <c r="B599" t="str">
        <f ca="1">IFERROR(__xludf.DUMMYFUNCTION("""COMPUTED_VALUE"""),"Деревягин")</f>
        <v>Деревягин</v>
      </c>
      <c r="C599" t="str">
        <f ca="1">IFERROR(__xludf.DUMMYFUNCTION("""COMPUTED_VALUE"""),"Александр")</f>
        <v>Александр</v>
      </c>
      <c r="D599" t="str">
        <f ca="1">IFERROR(__xludf.DUMMYFUNCTION("""COMPUTED_VALUE"""),"Гимназия 92")</f>
        <v>Гимназия 92</v>
      </c>
      <c r="E599" s="5"/>
      <c r="F599" s="5"/>
      <c r="G599" s="5"/>
      <c r="H599" s="5"/>
      <c r="I599" s="5"/>
      <c r="J599" s="5"/>
      <c r="K599" s="5"/>
      <c r="L599" s="5"/>
      <c r="M599">
        <f ca="1">IFERROR(__xludf.DUMMYFUNCTION("""COMPUTED_VALUE"""),0)</f>
        <v>0</v>
      </c>
      <c r="N599" s="8"/>
    </row>
    <row r="600" spans="1:14" ht="12.45" hidden="1">
      <c r="A600" t="str">
        <f ca="1">IFERROR(__xludf.DUMMYFUNCTION("""COMPUTED_VALUE"""),"III-1-235")</f>
        <v>III-1-235</v>
      </c>
      <c r="B600" t="str">
        <f ca="1">IFERROR(__xludf.DUMMYFUNCTION("""COMPUTED_VALUE"""),"Клинцов")</f>
        <v>Клинцов</v>
      </c>
      <c r="C600" t="str">
        <f ca="1">IFERROR(__xludf.DUMMYFUNCTION("""COMPUTED_VALUE"""),"Никита")</f>
        <v>Никита</v>
      </c>
      <c r="D600" t="str">
        <f ca="1">IFERROR(__xludf.DUMMYFUNCTION("""COMPUTED_VALUE"""),"Школа 163")</f>
        <v>Школа 163</v>
      </c>
      <c r="E600" s="5"/>
      <c r="F600" s="5"/>
      <c r="G600" s="5"/>
      <c r="H600" s="5"/>
      <c r="I600" s="5"/>
      <c r="J600" s="5"/>
      <c r="K600" s="5"/>
      <c r="L600" s="5"/>
      <c r="M600">
        <f ca="1">IFERROR(__xludf.DUMMYFUNCTION("""COMPUTED_VALUE"""),0)</f>
        <v>0</v>
      </c>
      <c r="N600" s="8"/>
    </row>
    <row r="601" spans="1:14" ht="12.45" hidden="1">
      <c r="A601" t="str">
        <f ca="1">IFERROR(__xludf.DUMMYFUNCTION("""COMPUTED_VALUE"""),"V-1-499")</f>
        <v>V-1-499</v>
      </c>
      <c r="B601" t="str">
        <f ca="1">IFERROR(__xludf.DUMMYFUNCTION("""COMPUTED_VALUE"""),"Стручаев")</f>
        <v>Стручаев</v>
      </c>
      <c r="C601" t="str">
        <f ca="1">IFERROR(__xludf.DUMMYFUNCTION("""COMPUTED_VALUE"""),"Алексей")</f>
        <v>Алексей</v>
      </c>
      <c r="D601" t="str">
        <f ca="1">IFERROR(__xludf.DUMMYFUNCTION("""COMPUTED_VALUE"""),"Лицей 179")</f>
        <v>Лицей 179</v>
      </c>
      <c r="E601" s="5"/>
      <c r="F601" s="5"/>
      <c r="G601" s="5"/>
      <c r="H601" s="5"/>
      <c r="I601" s="5"/>
      <c r="J601" s="5"/>
      <c r="K601" s="5"/>
      <c r="L601" s="5"/>
      <c r="M601">
        <f ca="1">IFERROR(__xludf.DUMMYFUNCTION("""COMPUTED_VALUE"""),0)</f>
        <v>0</v>
      </c>
      <c r="N601" s="8"/>
    </row>
    <row r="602" spans="1:14" ht="12.45" hidden="1">
      <c r="A602" t="str">
        <f ca="1">IFERROR(__xludf.DUMMYFUNCTION("""COMPUTED_VALUE"""),"V-1-597")</f>
        <v>V-1-597</v>
      </c>
      <c r="B602" t="str">
        <f ca="1">IFERROR(__xludf.DUMMYFUNCTION("""COMPUTED_VALUE"""),"Шишкин")</f>
        <v>Шишкин</v>
      </c>
      <c r="C602" t="str">
        <f ca="1">IFERROR(__xludf.DUMMYFUNCTION("""COMPUTED_VALUE"""),"Фёдор")</f>
        <v>Фёдор</v>
      </c>
      <c r="D602" t="str">
        <f ca="1">IFERROR(__xludf.DUMMYFUNCTION("""COMPUTED_VALUE"""),"Лицей 486")</f>
        <v>Лицей 486</v>
      </c>
      <c r="E602" s="5">
        <f ca="1">IFERROR(__xludf.DUMMYFUNCTION("""COMPUTED_VALUE"""),0)</f>
        <v>0</v>
      </c>
      <c r="F602" s="5">
        <f ca="1">IFERROR(__xludf.DUMMYFUNCTION("""COMPUTED_VALUE"""),0)</f>
        <v>0</v>
      </c>
      <c r="G602" s="5">
        <f ca="1">IFERROR(__xludf.DUMMYFUNCTION("""COMPUTED_VALUE"""),0)</f>
        <v>0</v>
      </c>
      <c r="H602" s="5">
        <f ca="1">IFERROR(__xludf.DUMMYFUNCTION("""COMPUTED_VALUE"""),0)</f>
        <v>0</v>
      </c>
      <c r="I602" s="5"/>
      <c r="J602" s="5"/>
      <c r="K602" s="5">
        <f ca="1">IFERROR(__xludf.DUMMYFUNCTION("""COMPUTED_VALUE"""),0)</f>
        <v>0</v>
      </c>
      <c r="L602" s="5">
        <f ca="1">IFERROR(__xludf.DUMMYFUNCTION("""COMPUTED_VALUE"""),0)</f>
        <v>0</v>
      </c>
      <c r="M602">
        <f ca="1">IFERROR(__xludf.DUMMYFUNCTION("""COMPUTED_VALUE"""),0)</f>
        <v>0</v>
      </c>
      <c r="N602" s="8"/>
    </row>
    <row r="603" spans="1:14" ht="12.45" hidden="1">
      <c r="A603" t="str">
        <f ca="1">IFERROR(__xludf.DUMMYFUNCTION("""COMPUTED_VALUE"""),"V-1-332")</f>
        <v>V-1-332</v>
      </c>
      <c r="B603" t="str">
        <f ca="1">IFERROR(__xludf.DUMMYFUNCTION("""COMPUTED_VALUE"""),"Михайлюк")</f>
        <v>Михайлюк</v>
      </c>
      <c r="C603" t="str">
        <f ca="1">IFERROR(__xludf.DUMMYFUNCTION("""COMPUTED_VALUE"""),"Елизавета")</f>
        <v>Елизавета</v>
      </c>
      <c r="D603" t="str">
        <f ca="1">IFERROR(__xludf.DUMMYFUNCTION("""COMPUTED_VALUE"""),"Школа 18")</f>
        <v>Школа 18</v>
      </c>
      <c r="E603" s="5"/>
      <c r="F603" s="5"/>
      <c r="G603" s="5"/>
      <c r="H603" s="5"/>
      <c r="I603" s="5"/>
      <c r="J603" s="5"/>
      <c r="K603" s="5"/>
      <c r="L603" s="5"/>
      <c r="M603">
        <f ca="1">IFERROR(__xludf.DUMMYFUNCTION("""COMPUTED_VALUE"""),0)</f>
        <v>0</v>
      </c>
      <c r="N603" s="8"/>
    </row>
    <row r="604" spans="1:14" ht="12.45" hidden="1">
      <c r="A604" t="str">
        <f ca="1">IFERROR(__xludf.DUMMYFUNCTION("""COMPUTED_VALUE"""),"III-1-145")</f>
        <v>III-1-145</v>
      </c>
      <c r="B604" t="str">
        <f ca="1">IFERROR(__xludf.DUMMYFUNCTION("""COMPUTED_VALUE"""),"Гунченко")</f>
        <v>Гунченко</v>
      </c>
      <c r="C604" t="str">
        <f ca="1">IFERROR(__xludf.DUMMYFUNCTION("""COMPUTED_VALUE"""),"Тимофей")</f>
        <v>Тимофей</v>
      </c>
      <c r="D604" t="str">
        <f ca="1">IFERROR(__xludf.DUMMYFUNCTION("""COMPUTED_VALUE"""),"Школа 605")</f>
        <v>Школа 605</v>
      </c>
      <c r="E604" s="5"/>
      <c r="F604" s="5"/>
      <c r="G604" s="5"/>
      <c r="H604" s="5"/>
      <c r="I604" s="5"/>
      <c r="J604" s="5"/>
      <c r="K604" s="5"/>
      <c r="L604" s="5"/>
      <c r="M604">
        <f ca="1">IFERROR(__xludf.DUMMYFUNCTION("""COMPUTED_VALUE"""),0)</f>
        <v>0</v>
      </c>
      <c r="N604" s="8"/>
    </row>
    <row r="605" spans="1:14" ht="12.45" hidden="1">
      <c r="A605" t="str">
        <f ca="1">IFERROR(__xludf.DUMMYFUNCTION("""COMPUTED_VALUE"""),"III-1-027")</f>
        <v>III-1-027</v>
      </c>
      <c r="B605" t="str">
        <f ca="1">IFERROR(__xludf.DUMMYFUNCTION("""COMPUTED_VALUE"""),"Артемьева")</f>
        <v>Артемьева</v>
      </c>
      <c r="C605" t="str">
        <f ca="1">IFERROR(__xludf.DUMMYFUNCTION("""COMPUTED_VALUE"""),"Ирина")</f>
        <v>Ирина</v>
      </c>
      <c r="D605" t="str">
        <f ca="1">IFERROR(__xludf.DUMMYFUNCTION("""COMPUTED_VALUE"""),"Школа 345")</f>
        <v>Школа 345</v>
      </c>
      <c r="E605" s="5"/>
      <c r="F605" s="5"/>
      <c r="G605" s="5"/>
      <c r="H605" s="5"/>
      <c r="I605" s="5"/>
      <c r="J605" s="5"/>
      <c r="K605" s="5"/>
      <c r="L605" s="5"/>
      <c r="M605">
        <f ca="1">IFERROR(__xludf.DUMMYFUNCTION("""COMPUTED_VALUE"""),0)</f>
        <v>0</v>
      </c>
      <c r="N605" s="8"/>
    </row>
    <row r="606" spans="1:14" ht="12.45" hidden="1">
      <c r="A606" t="str">
        <f ca="1">IFERROR(__xludf.DUMMYFUNCTION("""COMPUTED_VALUE"""),"V-1-381")</f>
        <v>V-1-381</v>
      </c>
      <c r="B606" t="str">
        <f ca="1">IFERROR(__xludf.DUMMYFUNCTION("""COMPUTED_VALUE"""),"Орлова")</f>
        <v>Орлова</v>
      </c>
      <c r="C606" t="str">
        <f ca="1">IFERROR(__xludf.DUMMYFUNCTION("""COMPUTED_VALUE"""),"Дарья")</f>
        <v>Дарья</v>
      </c>
      <c r="D606" t="str">
        <f ca="1">IFERROR(__xludf.DUMMYFUNCTION("""COMPUTED_VALUE"""),"Школа 494")</f>
        <v>Школа 494</v>
      </c>
      <c r="E606" s="5"/>
      <c r="F606" s="5"/>
      <c r="G606" s="5"/>
      <c r="H606" s="5"/>
      <c r="I606" s="5"/>
      <c r="J606" s="5"/>
      <c r="K606" s="5"/>
      <c r="L606" s="5"/>
      <c r="M606">
        <f ca="1">IFERROR(__xludf.DUMMYFUNCTION("""COMPUTED_VALUE"""),0)</f>
        <v>0</v>
      </c>
      <c r="N606" s="8"/>
    </row>
    <row r="607" spans="1:14" ht="12.45" hidden="1">
      <c r="A607" t="str">
        <f ca="1">IFERROR(__xludf.DUMMYFUNCTION("""COMPUTED_VALUE"""),"V-1-555")</f>
        <v>V-1-555</v>
      </c>
      <c r="B607" t="str">
        <f ca="1">IFERROR(__xludf.DUMMYFUNCTION("""COMPUTED_VALUE"""),"Фофанов")</f>
        <v>Фофанов</v>
      </c>
      <c r="C607" t="str">
        <f ca="1">IFERROR(__xludf.DUMMYFUNCTION("""COMPUTED_VALUE"""),"Иван")</f>
        <v>Иван</v>
      </c>
      <c r="D607" t="str">
        <f ca="1">IFERROR(__xludf.DUMMYFUNCTION("""COMPUTED_VALUE"""),"Школа 494")</f>
        <v>Школа 494</v>
      </c>
      <c r="E607" s="5">
        <f ca="1">IFERROR(__xludf.DUMMYFUNCTION("""COMPUTED_VALUE"""),0)</f>
        <v>0</v>
      </c>
      <c r="F607" s="5">
        <f ca="1">IFERROR(__xludf.DUMMYFUNCTION("""COMPUTED_VALUE"""),0)</f>
        <v>0</v>
      </c>
      <c r="G607" s="5">
        <f ca="1">IFERROR(__xludf.DUMMYFUNCTION("""COMPUTED_VALUE"""),0)</f>
        <v>0</v>
      </c>
      <c r="H607" s="5">
        <f ca="1">IFERROR(__xludf.DUMMYFUNCTION("""COMPUTED_VALUE"""),0)</f>
        <v>0</v>
      </c>
      <c r="I607" s="5"/>
      <c r="J607" s="5"/>
      <c r="K607" s="5">
        <f ca="1">IFERROR(__xludf.DUMMYFUNCTION("""COMPUTED_VALUE"""),0)</f>
        <v>0</v>
      </c>
      <c r="L607" s="5">
        <f ca="1">IFERROR(__xludf.DUMMYFUNCTION("""COMPUTED_VALUE"""),0)</f>
        <v>0</v>
      </c>
      <c r="M607">
        <f ca="1">IFERROR(__xludf.DUMMYFUNCTION("""COMPUTED_VALUE"""),0)</f>
        <v>0</v>
      </c>
      <c r="N607" s="8"/>
    </row>
    <row r="608" spans="1:14" ht="12.45" hidden="1">
      <c r="A608" t="str">
        <f ca="1">IFERROR(__xludf.DUMMYFUNCTION("""COMPUTED_VALUE"""),"III-1-024")</f>
        <v>III-1-024</v>
      </c>
      <c r="B608" t="str">
        <f ca="1">IFERROR(__xludf.DUMMYFUNCTION("""COMPUTED_VALUE"""),"Антонов")</f>
        <v>Антонов</v>
      </c>
      <c r="C608" t="str">
        <f ca="1">IFERROR(__xludf.DUMMYFUNCTION("""COMPUTED_VALUE"""),"Иван")</f>
        <v>Иван</v>
      </c>
      <c r="D608" t="str">
        <f ca="1">IFERROR(__xludf.DUMMYFUNCTION("""COMPUTED_VALUE"""),"Школа 19")</f>
        <v>Школа 19</v>
      </c>
      <c r="E608" s="5"/>
      <c r="F608" s="5"/>
      <c r="G608" s="5"/>
      <c r="H608" s="5"/>
      <c r="I608" s="5"/>
      <c r="J608" s="5"/>
      <c r="K608" s="5"/>
      <c r="L608" s="5"/>
      <c r="M608">
        <f ca="1">IFERROR(__xludf.DUMMYFUNCTION("""COMPUTED_VALUE"""),0)</f>
        <v>0</v>
      </c>
      <c r="N608" s="8"/>
    </row>
    <row r="609" spans="1:14" ht="12.45" hidden="1">
      <c r="A609" t="str">
        <f ca="1">IFERROR(__xludf.DUMMYFUNCTION("""COMPUTED_VALUE"""),"III-1-039")</f>
        <v>III-1-039</v>
      </c>
      <c r="B609" t="str">
        <f ca="1">IFERROR(__xludf.DUMMYFUNCTION("""COMPUTED_VALUE"""),"Байгозина")</f>
        <v>Байгозина</v>
      </c>
      <c r="C609" t="str">
        <f ca="1">IFERROR(__xludf.DUMMYFUNCTION("""COMPUTED_VALUE"""),"Кристина")</f>
        <v>Кристина</v>
      </c>
      <c r="D609" t="str">
        <f ca="1">IFERROR(__xludf.DUMMYFUNCTION("""COMPUTED_VALUE"""),"Гимназия 83")</f>
        <v>Гимназия 83</v>
      </c>
      <c r="E609" s="5"/>
      <c r="F609" s="5"/>
      <c r="G609" s="5"/>
      <c r="H609" s="5"/>
      <c r="I609" s="5"/>
      <c r="J609" s="5"/>
      <c r="K609" s="5"/>
      <c r="L609" s="5"/>
      <c r="M609">
        <f ca="1">IFERROR(__xludf.DUMMYFUNCTION("""COMPUTED_VALUE"""),0)</f>
        <v>0</v>
      </c>
      <c r="N609" s="8"/>
    </row>
    <row r="610" spans="1:14" ht="12.45" hidden="1">
      <c r="A610" t="str">
        <f ca="1">IFERROR(__xludf.DUMMYFUNCTION("""COMPUTED_VALUE"""),"III-1-078")</f>
        <v>III-1-078</v>
      </c>
      <c r="B610" t="str">
        <f ca="1">IFERROR(__xludf.DUMMYFUNCTION("""COMPUTED_VALUE"""),"Буйволенко")</f>
        <v>Буйволенко</v>
      </c>
      <c r="C610" t="str">
        <f ca="1">IFERROR(__xludf.DUMMYFUNCTION("""COMPUTED_VALUE"""),"Дарья")</f>
        <v>Дарья</v>
      </c>
      <c r="D610" t="str">
        <f ca="1">IFERROR(__xludf.DUMMYFUNCTION("""COMPUTED_VALUE"""),"Школа 92")</f>
        <v>Школа 92</v>
      </c>
      <c r="E610" s="5"/>
      <c r="F610" s="5"/>
      <c r="G610" s="5"/>
      <c r="H610" s="5"/>
      <c r="I610" s="5"/>
      <c r="J610" s="5"/>
      <c r="K610" s="5"/>
      <c r="L610" s="5"/>
      <c r="M610">
        <f ca="1">IFERROR(__xludf.DUMMYFUNCTION("""COMPUTED_VALUE"""),0)</f>
        <v>0</v>
      </c>
      <c r="N610" s="8"/>
    </row>
    <row r="611" spans="1:14" ht="12.45" hidden="1">
      <c r="A611" t="str">
        <f ca="1">IFERROR(__xludf.DUMMYFUNCTION("""COMPUTED_VALUE"""),"III-1-191")</f>
        <v>III-1-191</v>
      </c>
      <c r="B611" t="str">
        <f ca="1">IFERROR(__xludf.DUMMYFUNCTION("""COMPUTED_VALUE"""),"Земтуров")</f>
        <v>Земтуров</v>
      </c>
      <c r="C611" t="str">
        <f ca="1">IFERROR(__xludf.DUMMYFUNCTION("""COMPUTED_VALUE"""),"Артём")</f>
        <v>Артём</v>
      </c>
      <c r="D611" t="str">
        <f ca="1">IFERROR(__xludf.DUMMYFUNCTION("""COMPUTED_VALUE"""),"Школа 63")</f>
        <v>Школа 63</v>
      </c>
      <c r="E611" s="5"/>
      <c r="F611" s="5"/>
      <c r="G611" s="5"/>
      <c r="H611" s="5"/>
      <c r="I611" s="5"/>
      <c r="J611" s="5"/>
      <c r="K611" s="5"/>
      <c r="L611" s="5"/>
      <c r="M611">
        <f ca="1">IFERROR(__xludf.DUMMYFUNCTION("""COMPUTED_VALUE"""),0)</f>
        <v>0</v>
      </c>
      <c r="N611" s="8"/>
    </row>
    <row r="612" spans="1:14" ht="12.45" hidden="1">
      <c r="A612" t="str">
        <f ca="1">IFERROR(__xludf.DUMMYFUNCTION("""COMPUTED_VALUE"""),"III-1-285")</f>
        <v>III-1-285</v>
      </c>
      <c r="B612" t="str">
        <f ca="1">IFERROR(__xludf.DUMMYFUNCTION("""COMPUTED_VALUE"""),"Ламбина")</f>
        <v>Ламбина</v>
      </c>
      <c r="C612" t="str">
        <f ca="1">IFERROR(__xludf.DUMMYFUNCTION("""COMPUTED_VALUE"""),"Кристина")</f>
        <v>Кристина</v>
      </c>
      <c r="D612" t="str">
        <f ca="1">IFERROR(__xludf.DUMMYFUNCTION("""COMPUTED_VALUE"""),"Школа 92")</f>
        <v>Школа 92</v>
      </c>
      <c r="E612" s="5"/>
      <c r="F612" s="5"/>
      <c r="G612" s="5"/>
      <c r="H612" s="5"/>
      <c r="I612" s="5"/>
      <c r="J612" s="5"/>
      <c r="K612" s="5"/>
      <c r="L612" s="5"/>
      <c r="M612">
        <f ca="1">IFERROR(__xludf.DUMMYFUNCTION("""COMPUTED_VALUE"""),0)</f>
        <v>0</v>
      </c>
      <c r="N612" s="8"/>
    </row>
    <row r="613" spans="1:14" ht="12.45" hidden="1">
      <c r="A613" t="str">
        <f ca="1">IFERROR(__xludf.DUMMYFUNCTION("""COMPUTED_VALUE"""),"V-1-612")</f>
        <v>V-1-612</v>
      </c>
      <c r="B613" t="str">
        <f ca="1">IFERROR(__xludf.DUMMYFUNCTION("""COMPUTED_VALUE"""),"Якушев")</f>
        <v>Якушев</v>
      </c>
      <c r="C613" t="str">
        <f ca="1">IFERROR(__xludf.DUMMYFUNCTION("""COMPUTED_VALUE"""),"Алексей")</f>
        <v>Алексей</v>
      </c>
      <c r="D613" t="str">
        <f ca="1">IFERROR(__xludf.DUMMYFUNCTION("""COMPUTED_VALUE"""),"Школа 92")</f>
        <v>Школа 92</v>
      </c>
      <c r="E613" s="5"/>
      <c r="F613" s="5"/>
      <c r="G613" s="5"/>
      <c r="H613" s="5"/>
      <c r="I613" s="5"/>
      <c r="J613" s="5"/>
      <c r="K613" s="5"/>
      <c r="L613" s="5"/>
      <c r="M613">
        <f ca="1">IFERROR(__xludf.DUMMYFUNCTION("""COMPUTED_VALUE"""),0)</f>
        <v>0</v>
      </c>
      <c r="N613" s="8"/>
    </row>
    <row r="614" spans="1:14" ht="12.45" hidden="1">
      <c r="A614" t="str">
        <f ca="1">IFERROR(__xludf.DUMMYFUNCTION("""COMPUTED_VALUE"""),"III-1-297")</f>
        <v>III-1-297</v>
      </c>
      <c r="B614" t="str">
        <f ca="1">IFERROR(__xludf.DUMMYFUNCTION("""COMPUTED_VALUE"""),"Лубенцов")</f>
        <v>Лубенцов</v>
      </c>
      <c r="C614" t="str">
        <f ca="1">IFERROR(__xludf.DUMMYFUNCTION("""COMPUTED_VALUE"""),"Александр")</f>
        <v>Александр</v>
      </c>
      <c r="D614" t="str">
        <f ca="1">IFERROR(__xludf.DUMMYFUNCTION("""COMPUTED_VALUE"""),"Школа Академия")</f>
        <v>Школа Академия</v>
      </c>
      <c r="E614" s="5"/>
      <c r="F614" s="5"/>
      <c r="G614" s="5"/>
      <c r="H614" s="5"/>
      <c r="I614" s="5"/>
      <c r="J614" s="5"/>
      <c r="K614" s="5"/>
      <c r="L614" s="5"/>
      <c r="M614">
        <f ca="1">IFERROR(__xludf.DUMMYFUNCTION("""COMPUTED_VALUE"""),0)</f>
        <v>0</v>
      </c>
      <c r="N614" s="8"/>
    </row>
    <row r="615" spans="1:14" ht="12.45" hidden="1">
      <c r="A615" t="str">
        <f ca="1">IFERROR(__xludf.DUMMYFUNCTION("""COMPUTED_VALUE"""),"V-1-610")</f>
        <v>V-1-610</v>
      </c>
      <c r="B615" t="str">
        <f ca="1">IFERROR(__xludf.DUMMYFUNCTION("""COMPUTED_VALUE"""),"Эпина")</f>
        <v>Эпина</v>
      </c>
      <c r="C615" t="str">
        <f ca="1">IFERROR(__xludf.DUMMYFUNCTION("""COMPUTED_VALUE"""),"София")</f>
        <v>София</v>
      </c>
      <c r="D615" t="str">
        <f ca="1">IFERROR(__xludf.DUMMYFUNCTION("""COMPUTED_VALUE"""),"Школа Академия малышей")</f>
        <v>Школа Академия малышей</v>
      </c>
      <c r="E615" s="5"/>
      <c r="F615" s="5"/>
      <c r="G615" s="5"/>
      <c r="H615" s="5"/>
      <c r="I615" s="5"/>
      <c r="J615" s="5"/>
      <c r="K615" s="5"/>
      <c r="L615" s="5"/>
      <c r="M615">
        <f ca="1">IFERROR(__xludf.DUMMYFUNCTION("""COMPUTED_VALUE"""),0)</f>
        <v>0</v>
      </c>
      <c r="N615" s="8"/>
    </row>
    <row r="616" spans="1:14" ht="12.45" hidden="1">
      <c r="A616" t="str">
        <f ca="1">IFERROR(__xludf.DUMMYFUNCTION("""COMPUTED_VALUE"""),"III-1-189")</f>
        <v>III-1-189</v>
      </c>
      <c r="B616" t="str">
        <f ca="1">IFERROR(__xludf.DUMMYFUNCTION("""COMPUTED_VALUE"""),"Звягин")</f>
        <v>Звягин</v>
      </c>
      <c r="C616" t="str">
        <f ca="1">IFERROR(__xludf.DUMMYFUNCTION("""COMPUTED_VALUE"""),"Александр")</f>
        <v>Александр</v>
      </c>
      <c r="D616" t="str">
        <f ca="1">IFERROR(__xludf.DUMMYFUNCTION("""COMPUTED_VALUE"""),"Гимназия 330")</f>
        <v>Гимназия 330</v>
      </c>
      <c r="E616" s="5"/>
      <c r="F616" s="5"/>
      <c r="G616" s="5"/>
      <c r="H616" s="5"/>
      <c r="I616" s="5"/>
      <c r="J616" s="5"/>
      <c r="K616" s="5"/>
      <c r="L616" s="5"/>
      <c r="M616">
        <f ca="1">IFERROR(__xludf.DUMMYFUNCTION("""COMPUTED_VALUE"""),0)</f>
        <v>0</v>
      </c>
      <c r="N616" s="8"/>
    </row>
    <row r="617" spans="1:14" ht="12.45" hidden="1">
      <c r="A617" t="str">
        <f ca="1">IFERROR(__xludf.DUMMYFUNCTION("""COMPUTED_VALUE"""),"III-1-222")</f>
        <v>III-1-222</v>
      </c>
      <c r="B617" t="str">
        <f ca="1">IFERROR(__xludf.DUMMYFUNCTION("""COMPUTED_VALUE"""),"Катасонова")</f>
        <v>Катасонова</v>
      </c>
      <c r="C617" t="str">
        <f ca="1">IFERROR(__xludf.DUMMYFUNCTION("""COMPUTED_VALUE"""),"Ольга")</f>
        <v>Ольга</v>
      </c>
      <c r="D617" t="str">
        <f ca="1">IFERROR(__xludf.DUMMYFUNCTION("""COMPUTED_VALUE"""),"Гимназия 330")</f>
        <v>Гимназия 330</v>
      </c>
      <c r="E617" s="5"/>
      <c r="F617" s="5"/>
      <c r="G617" s="5"/>
      <c r="H617" s="5"/>
      <c r="I617" s="5"/>
      <c r="J617" s="5"/>
      <c r="K617" s="5"/>
      <c r="L617" s="5"/>
      <c r="M617">
        <f ca="1">IFERROR(__xludf.DUMMYFUNCTION("""COMPUTED_VALUE"""),0)</f>
        <v>0</v>
      </c>
      <c r="N617" s="8"/>
    </row>
    <row r="618" spans="1:14" ht="12.45" hidden="1">
      <c r="A618" t="str">
        <f ca="1">IFERROR(__xludf.DUMMYFUNCTION("""COMPUTED_VALUE"""),"III-1-250")</f>
        <v>III-1-250</v>
      </c>
      <c r="B618" t="str">
        <f ca="1">IFERROR(__xludf.DUMMYFUNCTION("""COMPUTED_VALUE"""),"Корнилова")</f>
        <v>Корнилова</v>
      </c>
      <c r="C618" t="str">
        <f ca="1">IFERROR(__xludf.DUMMYFUNCTION("""COMPUTED_VALUE"""),"Варвара")</f>
        <v>Варвара</v>
      </c>
      <c r="D618" t="str">
        <f ca="1">IFERROR(__xludf.DUMMYFUNCTION("""COMPUTED_VALUE"""),"Гимназия 330")</f>
        <v>Гимназия 330</v>
      </c>
      <c r="E618" s="5"/>
      <c r="F618" s="5"/>
      <c r="G618" s="5"/>
      <c r="H618" s="5"/>
      <c r="I618" s="5"/>
      <c r="J618" s="5"/>
      <c r="K618" s="5"/>
      <c r="L618" s="5"/>
      <c r="M618">
        <f ca="1">IFERROR(__xludf.DUMMYFUNCTION("""COMPUTED_VALUE"""),0)</f>
        <v>0</v>
      </c>
      <c r="N618" s="8"/>
    </row>
    <row r="619" spans="1:14" ht="12.45" hidden="1">
      <c r="A619" t="str">
        <f ca="1">IFERROR(__xludf.DUMMYFUNCTION("""COMPUTED_VALUE"""),"V-1-469")</f>
        <v>V-1-469</v>
      </c>
      <c r="B619" t="str">
        <f ca="1">IFERROR(__xludf.DUMMYFUNCTION("""COMPUTED_VALUE"""),"Сибиляйнен")</f>
        <v>Сибиляйнен</v>
      </c>
      <c r="C619" t="str">
        <f ca="1">IFERROR(__xludf.DUMMYFUNCTION("""COMPUTED_VALUE"""),"Василиса")</f>
        <v>Василиса</v>
      </c>
      <c r="D619" t="str">
        <f ca="1">IFERROR(__xludf.DUMMYFUNCTION("""COMPUTED_VALUE"""),"Гимназия 330")</f>
        <v>Гимназия 330</v>
      </c>
      <c r="E619" s="5"/>
      <c r="F619" s="5"/>
      <c r="G619" s="5"/>
      <c r="H619" s="5"/>
      <c r="I619" s="5"/>
      <c r="J619" s="5"/>
      <c r="K619" s="5"/>
      <c r="L619" s="5"/>
      <c r="M619">
        <f ca="1">IFERROR(__xludf.DUMMYFUNCTION("""COMPUTED_VALUE"""),0)</f>
        <v>0</v>
      </c>
      <c r="N619" s="8"/>
    </row>
    <row r="620" spans="1:14" ht="12.45" hidden="1">
      <c r="E620" s="5"/>
      <c r="F620" s="5"/>
      <c r="G620" s="5"/>
      <c r="H620" s="5"/>
      <c r="I620" s="5"/>
      <c r="J620" s="5"/>
      <c r="K620" s="5"/>
      <c r="L620" s="5"/>
      <c r="M620">
        <f ca="1">IFERROR(__xludf.DUMMYFUNCTION("""COMPUTED_VALUE"""),0)</f>
        <v>0</v>
      </c>
      <c r="N620" s="8"/>
    </row>
    <row r="621" spans="1:14" ht="12.45" hidden="1">
      <c r="E621" s="5"/>
      <c r="F621" s="5"/>
      <c r="G621" s="5"/>
      <c r="H621" s="5"/>
      <c r="I621" s="5"/>
      <c r="J621" s="5"/>
      <c r="K621" s="5"/>
      <c r="L621" s="5"/>
      <c r="M621">
        <f ca="1">IFERROR(__xludf.DUMMYFUNCTION("""COMPUTED_VALUE"""),0)</f>
        <v>0</v>
      </c>
      <c r="N621" s="8"/>
    </row>
    <row r="622" spans="1:14" ht="12.45" hidden="1">
      <c r="E622" s="5"/>
      <c r="F622" s="5"/>
      <c r="G622" s="5"/>
      <c r="H622" s="5"/>
      <c r="I622" s="5"/>
      <c r="J622" s="5"/>
      <c r="K622" s="5"/>
      <c r="L622" s="5"/>
      <c r="M622">
        <f ca="1">IFERROR(__xludf.DUMMYFUNCTION("""COMPUTED_VALUE"""),0)</f>
        <v>0</v>
      </c>
      <c r="N622" s="8"/>
    </row>
    <row r="623" spans="1:14" ht="12.45" hidden="1">
      <c r="E623" s="5"/>
      <c r="F623" s="5"/>
      <c r="G623" s="5"/>
      <c r="H623" s="5"/>
      <c r="I623" s="5"/>
      <c r="J623" s="5"/>
      <c r="K623" s="5"/>
      <c r="L623" s="5"/>
      <c r="M623">
        <f ca="1">IFERROR(__xludf.DUMMYFUNCTION("""COMPUTED_VALUE"""),0)</f>
        <v>0</v>
      </c>
      <c r="N623" s="8"/>
    </row>
    <row r="624" spans="1:14" ht="12.45">
      <c r="E624" s="5"/>
      <c r="F624" s="5"/>
      <c r="G624" s="5"/>
      <c r="H624" s="5"/>
      <c r="I624" s="5"/>
      <c r="J624" s="5"/>
      <c r="K624" s="5"/>
      <c r="L624" s="5"/>
      <c r="N624" s="8"/>
    </row>
    <row r="625" spans="5:14" ht="12.45">
      <c r="E625" s="5"/>
      <c r="F625" s="5"/>
      <c r="G625" s="5"/>
      <c r="H625" s="5"/>
      <c r="I625" s="5"/>
      <c r="J625" s="5"/>
      <c r="K625" s="5"/>
      <c r="L625" s="5"/>
      <c r="N625" s="8"/>
    </row>
    <row r="626" spans="5:14" ht="12.45">
      <c r="E626" s="5"/>
      <c r="F626" s="5"/>
      <c r="G626" s="5"/>
      <c r="H626" s="5"/>
      <c r="I626" s="5"/>
      <c r="J626" s="5"/>
      <c r="K626" s="5"/>
      <c r="L626" s="5"/>
      <c r="N626" s="8"/>
    </row>
    <row r="627" spans="5:14" ht="12.45">
      <c r="E627" s="5"/>
      <c r="F627" s="5"/>
      <c r="G627" s="5"/>
      <c r="H627" s="5"/>
      <c r="I627" s="5"/>
      <c r="J627" s="5"/>
      <c r="K627" s="5"/>
      <c r="L627" s="5"/>
      <c r="N627" s="8"/>
    </row>
    <row r="628" spans="5:14" ht="12.45">
      <c r="E628" s="5"/>
      <c r="F628" s="5"/>
      <c r="G628" s="5"/>
      <c r="H628" s="5"/>
      <c r="I628" s="5"/>
      <c r="J628" s="5"/>
      <c r="K628" s="5"/>
      <c r="L628" s="5"/>
      <c r="N628" s="8"/>
    </row>
    <row r="629" spans="5:14" ht="12.45">
      <c r="E629" s="5"/>
      <c r="F629" s="5"/>
      <c r="G629" s="5"/>
      <c r="H629" s="5"/>
      <c r="I629" s="5"/>
      <c r="J629" s="5"/>
      <c r="K629" s="5"/>
      <c r="L629" s="5"/>
      <c r="N629" s="8"/>
    </row>
  </sheetData>
  <autoFilter ref="A8:AA623">
    <filterColumn colId="3">
      <filters>
        <filter val="Гимназия 3"/>
        <filter val="Гимназия лингвистическая 3"/>
        <filter val="Гимназия Лингвистическая гимназия 3"/>
        <filter val="Гимназия Лингвистическая гимназия 3 Улан-Удэ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629"/>
  <sheetViews>
    <sheetView workbookViewId="0">
      <pane ySplit="7" topLeftCell="A8" activePane="bottomLeft" state="frozen"/>
      <selection pane="bottomLeft" activeCell="A8" sqref="A8:XFD8"/>
    </sheetView>
  </sheetViews>
  <sheetFormatPr defaultColWidth="12.61328125" defaultRowHeight="15" customHeight="1"/>
  <cols>
    <col min="1" max="1" width="8.3828125" customWidth="1"/>
    <col min="4" max="4" width="17.3828125" customWidth="1"/>
    <col min="5" max="13" width="5.23046875" customWidth="1"/>
  </cols>
  <sheetData>
    <row r="1" spans="1:27" ht="17.60000000000000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600000000000001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600000000000001">
      <c r="A3" s="4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600000000000001">
      <c r="A4" s="4" t="s">
        <v>3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600000000000001" hidden="1">
      <c r="A5" t="str">
        <f ca="1">IFERROR(__xludf.DUMMYFUNCTION("IMPORTRANGE(""https://docs.google.com/spreadsheets/d/1d0Bb4o7lzKT3yBaERn16Vqc645t23wzs8oXZmhT8Li4/edit#gid=204709947"",""'Итоги 2'!A:C"")"),"")</f>
        <v/>
      </c>
      <c r="D5" t="str">
        <f ca="1">IFERROR(__xludf.DUMMYFUNCTION("IMPORTRANGE(""https://docs.google.com/spreadsheets/d/1d0Bb4o7lzKT3yBaERn16Vqc645t23wzs8oXZmhT8Li4/edit#gid=204709947"",""'Итоги 2'!E:E"")"),"")</f>
        <v/>
      </c>
      <c r="E5" s="5" t="str">
        <f ca="1">IFERROR(__xludf.DUMMYFUNCTION("IMPORTRANGE(""https://docs.google.com/spreadsheets/d/1d0Bb4o7lzKT3yBaERn16Vqc645t23wzs8oXZmhT8Li4/edit#gid=204709947"",""'Итоги 2'!S:AB"")"),"ОЧНЫЙ ТУР. Вторая проверка")</f>
        <v>ОЧНЫЙ ТУР. Вторая проверка</v>
      </c>
      <c r="F5" s="5"/>
      <c r="G5" s="5"/>
      <c r="H5" s="5"/>
      <c r="I5" s="5"/>
      <c r="J5" s="5"/>
      <c r="K5" s="5"/>
      <c r="L5" s="5">
        <f ca="1">IFERROR(__xludf.DUMMYFUNCTION("""COMPUTED_VALUE"""),307)</f>
        <v>307</v>
      </c>
      <c r="N5" s="2"/>
    </row>
    <row r="6" spans="1:27" ht="17.600000000000001" hidden="1">
      <c r="E6" s="5">
        <f ca="1">IFERROR(__xludf.DUMMYFUNCTION("""COMPUTED_VALUE"""),665)</f>
        <v>665</v>
      </c>
      <c r="F6" s="5">
        <f ca="1">IFERROR(__xludf.DUMMYFUNCTION("""COMPUTED_VALUE"""),563)</f>
        <v>563</v>
      </c>
      <c r="G6" s="5">
        <f ca="1">IFERROR(__xludf.DUMMYFUNCTION("""COMPUTED_VALUE"""),760)</f>
        <v>760</v>
      </c>
      <c r="H6" s="5">
        <f ca="1">IFERROR(__xludf.DUMMYFUNCTION("""COMPUTED_VALUE"""),275)</f>
        <v>275</v>
      </c>
      <c r="I6" s="5">
        <f ca="1">IFERROR(__xludf.DUMMYFUNCTION("""COMPUTED_VALUE"""),480)</f>
        <v>480</v>
      </c>
      <c r="J6" s="5">
        <f ca="1">IFERROR(__xludf.DUMMYFUNCTION("""COMPUTED_VALUE"""),241)</f>
        <v>241</v>
      </c>
      <c r="K6" s="5">
        <f ca="1">IFERROR(__xludf.DUMMYFUNCTION("""COMPUTED_VALUE"""),121)</f>
        <v>121</v>
      </c>
      <c r="L6" s="5">
        <f ca="1">IFERROR(__xludf.DUMMYFUNCTION("""COMPUTED_VALUE"""),72)</f>
        <v>72</v>
      </c>
      <c r="M6">
        <f ca="1">IFERROR(__xludf.DUMMYFUNCTION("""COMPUTED_VALUE"""),3177)</f>
        <v>3177</v>
      </c>
      <c r="N6" s="2"/>
    </row>
    <row r="7" spans="1:27" ht="12.45">
      <c r="A7" s="9" t="str">
        <f ca="1">IFERROR(__xludf.DUMMYFUNCTION("""COMPUTED_VALUE"""),"Регистрационный номер")</f>
        <v>Регистрационный номер</v>
      </c>
      <c r="B7" s="9" t="str">
        <f ca="1">IFERROR(__xludf.DUMMYFUNCTION("""COMPUTED_VALUE"""),"Фамилия")</f>
        <v>Фамилия</v>
      </c>
      <c r="C7" s="9" t="str">
        <f ca="1">IFERROR(__xludf.DUMMYFUNCTION("""COMPUTED_VALUE"""),"Имя")</f>
        <v>Имя</v>
      </c>
      <c r="D7" s="9" t="str">
        <f ca="1">IFERROR(__xludf.DUMMYFUNCTION("""COMPUTED_VALUE"""),"Школа")</f>
        <v>Школа</v>
      </c>
      <c r="E7" s="10" t="str">
        <f ca="1">IFERROR(__xludf.DUMMYFUNCTION("""COMPUTED_VALUE"""),"#1")</f>
        <v>#1</v>
      </c>
      <c r="F7" s="10" t="str">
        <f ca="1">IFERROR(__xludf.DUMMYFUNCTION("""COMPUTED_VALUE"""),"#2")</f>
        <v>#2</v>
      </c>
      <c r="G7" s="10" t="str">
        <f ca="1">IFERROR(__xludf.DUMMYFUNCTION("""COMPUTED_VALUE"""),"#3")</f>
        <v>#3</v>
      </c>
      <c r="H7" s="10" t="str">
        <f ca="1">IFERROR(__xludf.DUMMYFUNCTION("""COMPUTED_VALUE"""),"#4")</f>
        <v>#4</v>
      </c>
      <c r="I7" s="10" t="str">
        <f ca="1">IFERROR(__xludf.DUMMYFUNCTION("""COMPUTED_VALUE"""),"#5")</f>
        <v>#5</v>
      </c>
      <c r="J7" s="10" t="str">
        <f ca="1">IFERROR(__xludf.DUMMYFUNCTION("""COMPUTED_VALUE"""),"#6")</f>
        <v>#6</v>
      </c>
      <c r="K7" s="10" t="str">
        <f ca="1">IFERROR(__xludf.DUMMYFUNCTION("""COMPUTED_VALUE"""),"#7")</f>
        <v>#7</v>
      </c>
      <c r="L7" s="10" t="str">
        <f ca="1">IFERROR(__xludf.DUMMYFUNCTION("""COMPUTED_VALUE"""),"#8")</f>
        <v>#8</v>
      </c>
      <c r="M7" s="9" t="str">
        <f ca="1">IFERROR(__xludf.DUMMYFUNCTION("""COMPUTED_VALUE"""),"Итого очный 2")</f>
        <v>Итого очный 2</v>
      </c>
      <c r="N7" s="9" t="str">
        <f ca="1">IFERROR(__xludf.DUMMYFUNCTION("""COMPUTED_VALUE"""),"Награда")</f>
        <v>Награда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2.45">
      <c r="A8" t="str">
        <f ca="1">IFERROR(__xludf.DUMMYFUNCTION("""COMPUTED_VALUE"""),"V-2-412")</f>
        <v>V-2-412</v>
      </c>
      <c r="B8" t="str">
        <f ca="1">IFERROR(__xludf.DUMMYFUNCTION("""COMPUTED_VALUE"""),"Стрелков")</f>
        <v>Стрелков</v>
      </c>
      <c r="C8" t="str">
        <f ca="1">IFERROR(__xludf.DUMMYFUNCTION("""COMPUTED_VALUE"""),"Сергей")</f>
        <v>Сергей</v>
      </c>
      <c r="D8" t="str">
        <f ca="1">IFERROR(__xludf.DUMMYFUNCTION("""COMPUTED_VALUE"""),"Школа 71")</f>
        <v>Школа 71</v>
      </c>
      <c r="E8" s="5">
        <f ca="1">IFERROR(__xludf.DUMMYFUNCTION("""COMPUTED_VALUE"""),3)</f>
        <v>3</v>
      </c>
      <c r="F8" s="5">
        <f ca="1">IFERROR(__xludf.DUMMYFUNCTION("""COMPUTED_VALUE"""),4)</f>
        <v>4</v>
      </c>
      <c r="G8" s="5">
        <f ca="1">IFERROR(__xludf.DUMMYFUNCTION("""COMPUTED_VALUE"""),4)</f>
        <v>4</v>
      </c>
      <c r="H8" s="5">
        <f ca="1">IFERROR(__xludf.DUMMYFUNCTION("""COMPUTED_VALUE"""),6)</f>
        <v>6</v>
      </c>
      <c r="I8" s="5">
        <f ca="1">IFERROR(__xludf.DUMMYFUNCTION("""COMPUTED_VALUE"""),5)</f>
        <v>5</v>
      </c>
      <c r="J8" s="5">
        <f ca="1">IFERROR(__xludf.DUMMYFUNCTION("""COMPUTED_VALUE"""),5)</f>
        <v>5</v>
      </c>
      <c r="K8" s="5">
        <f ca="1">IFERROR(__xludf.DUMMYFUNCTION("""COMPUTED_VALUE"""),7)</f>
        <v>7</v>
      </c>
      <c r="L8" s="5">
        <f ca="1">IFERROR(__xludf.DUMMYFUNCTION("""COMPUTED_VALUE"""),0)</f>
        <v>0</v>
      </c>
      <c r="M8">
        <f ca="1">IFERROR(__xludf.DUMMYFUNCTION("""COMPUTED_VALUE"""),34)</f>
        <v>34</v>
      </c>
      <c r="N8" s="8" t="str">
        <f ca="1">IFERROR(__xludf.DUMMYFUNCTION("""COMPUTED_VALUE"""),"Д1")</f>
        <v>Д1</v>
      </c>
    </row>
    <row r="9" spans="1:27" ht="12.45">
      <c r="A9" t="str">
        <f ca="1">IFERROR(__xludf.DUMMYFUNCTION("""COMPUTED_VALUE"""),"III-2-175")</f>
        <v>III-2-175</v>
      </c>
      <c r="B9" t="str">
        <f ca="1">IFERROR(__xludf.DUMMYFUNCTION("""COMPUTED_VALUE"""),"Иванов")</f>
        <v>Иванов</v>
      </c>
      <c r="C9" t="str">
        <f ca="1">IFERROR(__xludf.DUMMYFUNCTION("""COMPUTED_VALUE"""),"Алексей")</f>
        <v>Алексей</v>
      </c>
      <c r="D9" t="str">
        <f ca="1">IFERROR(__xludf.DUMMYFUNCTION("""COMPUTED_VALUE"""),"Школа 1 г. Улан-Удэ")</f>
        <v>Школа 1 г. Улан-Удэ</v>
      </c>
      <c r="E9" s="5">
        <f ca="1">IFERROR(__xludf.DUMMYFUNCTION("""COMPUTED_VALUE"""),3)</f>
        <v>3</v>
      </c>
      <c r="F9" s="5">
        <f ca="1">IFERROR(__xludf.DUMMYFUNCTION("""COMPUTED_VALUE"""),4)</f>
        <v>4</v>
      </c>
      <c r="G9" s="5">
        <f ca="1">IFERROR(__xludf.DUMMYFUNCTION("""COMPUTED_VALUE"""),4)</f>
        <v>4</v>
      </c>
      <c r="H9" s="5">
        <f ca="1">IFERROR(__xludf.DUMMYFUNCTION("""COMPUTED_VALUE"""),3)</f>
        <v>3</v>
      </c>
      <c r="I9" s="5">
        <f ca="1">IFERROR(__xludf.DUMMYFUNCTION("""COMPUTED_VALUE"""),5)</f>
        <v>5</v>
      </c>
      <c r="J9" s="5">
        <f ca="1">IFERROR(__xludf.DUMMYFUNCTION("""COMPUTED_VALUE"""),0)</f>
        <v>0</v>
      </c>
      <c r="K9" s="5">
        <f ca="1">IFERROR(__xludf.DUMMYFUNCTION("""COMPUTED_VALUE"""),5)</f>
        <v>5</v>
      </c>
      <c r="L9" s="5">
        <f ca="1">IFERROR(__xludf.DUMMYFUNCTION("""COMPUTED_VALUE"""),6)</f>
        <v>6</v>
      </c>
      <c r="M9">
        <f ca="1">IFERROR(__xludf.DUMMYFUNCTION("""COMPUTED_VALUE"""),30)</f>
        <v>30</v>
      </c>
      <c r="N9" s="8" t="str">
        <f ca="1">IFERROR(__xludf.DUMMYFUNCTION("""COMPUTED_VALUE"""),"Д1")</f>
        <v>Д1</v>
      </c>
    </row>
    <row r="10" spans="1:27" ht="12.45" hidden="1">
      <c r="A10" t="str">
        <f ca="1">IFERROR(__xludf.DUMMYFUNCTION("""COMPUTED_VALUE"""),"V-2-466")</f>
        <v>V-2-466</v>
      </c>
      <c r="B10" t="str">
        <f ca="1">IFERROR(__xludf.DUMMYFUNCTION("""COMPUTED_VALUE"""),"Ширтанова")</f>
        <v>Ширтанова</v>
      </c>
      <c r="C10" t="str">
        <f ca="1">IFERROR(__xludf.DUMMYFUNCTION("""COMPUTED_VALUE"""),"Валерия")</f>
        <v>Валерия</v>
      </c>
      <c r="D10" t="str">
        <f ca="1">IFERROR(__xludf.DUMMYFUNCTION("""COMPUTED_VALUE"""),"Лицей 29")</f>
        <v>Лицей 29</v>
      </c>
      <c r="E10" s="5">
        <f ca="1">IFERROR(__xludf.DUMMYFUNCTION("""COMPUTED_VALUE"""),3)</f>
        <v>3</v>
      </c>
      <c r="F10" s="5">
        <f ca="1">IFERROR(__xludf.DUMMYFUNCTION("""COMPUTED_VALUE"""),4)</f>
        <v>4</v>
      </c>
      <c r="G10" s="5">
        <f ca="1">IFERROR(__xludf.DUMMYFUNCTION("""COMPUTED_VALUE"""),4)</f>
        <v>4</v>
      </c>
      <c r="H10" s="5">
        <f ca="1">IFERROR(__xludf.DUMMYFUNCTION("""COMPUTED_VALUE"""),6)</f>
        <v>6</v>
      </c>
      <c r="I10" s="5">
        <f ca="1">IFERROR(__xludf.DUMMYFUNCTION("""COMPUTED_VALUE"""),5)</f>
        <v>5</v>
      </c>
      <c r="J10" s="5">
        <f ca="1">IFERROR(__xludf.DUMMYFUNCTION("""COMPUTED_VALUE"""),5)</f>
        <v>5</v>
      </c>
      <c r="K10" s="5">
        <f ca="1">IFERROR(__xludf.DUMMYFUNCTION("""COMPUTED_VALUE"""),0)</f>
        <v>0</v>
      </c>
      <c r="L10" s="5">
        <f ca="1">IFERROR(__xludf.DUMMYFUNCTION("""COMPUTED_VALUE"""),0)</f>
        <v>0</v>
      </c>
      <c r="M10">
        <f ca="1">IFERROR(__xludf.DUMMYFUNCTION("""COMPUTED_VALUE"""),27)</f>
        <v>27</v>
      </c>
      <c r="N10" s="8" t="str">
        <f ca="1">IFERROR(__xludf.DUMMYFUNCTION("""COMPUTED_VALUE"""),"Д1")</f>
        <v>Д1</v>
      </c>
    </row>
    <row r="11" spans="1:27" ht="12.45" hidden="1">
      <c r="A11" t="str">
        <f ca="1">IFERROR(__xludf.DUMMYFUNCTION("""COMPUTED_VALUE"""),"III-2-100")</f>
        <v>III-2-100</v>
      </c>
      <c r="B11" t="str">
        <f ca="1">IFERROR(__xludf.DUMMYFUNCTION("""COMPUTED_VALUE"""),"Горлов")</f>
        <v>Горлов</v>
      </c>
      <c r="C11" t="str">
        <f ca="1">IFERROR(__xludf.DUMMYFUNCTION("""COMPUTED_VALUE"""),"Алексей")</f>
        <v>Алексей</v>
      </c>
      <c r="D11" t="str">
        <f ca="1">IFERROR(__xludf.DUMMYFUNCTION("""COMPUTED_VALUE"""),"Школа 65")</f>
        <v>Школа 65</v>
      </c>
      <c r="E11" s="5">
        <f ca="1">IFERROR(__xludf.DUMMYFUNCTION("""COMPUTED_VALUE"""),3)</f>
        <v>3</v>
      </c>
      <c r="F11" s="5">
        <f ca="1">IFERROR(__xludf.DUMMYFUNCTION("""COMPUTED_VALUE"""),4)</f>
        <v>4</v>
      </c>
      <c r="G11" s="5">
        <f ca="1">IFERROR(__xludf.DUMMYFUNCTION("""COMPUTED_VALUE"""),4)</f>
        <v>4</v>
      </c>
      <c r="H11" s="5">
        <f ca="1">IFERROR(__xludf.DUMMYFUNCTION("""COMPUTED_VALUE"""),3)</f>
        <v>3</v>
      </c>
      <c r="I11" s="5">
        <f ca="1">IFERROR(__xludf.DUMMYFUNCTION("""COMPUTED_VALUE"""),5)</f>
        <v>5</v>
      </c>
      <c r="J11" s="5">
        <f ca="1">IFERROR(__xludf.DUMMYFUNCTION("""COMPUTED_VALUE"""),3)</f>
        <v>3</v>
      </c>
      <c r="K11" s="5">
        <f ca="1">IFERROR(__xludf.DUMMYFUNCTION("""COMPUTED_VALUE"""),0)</f>
        <v>0</v>
      </c>
      <c r="L11" s="5">
        <f ca="1">IFERROR(__xludf.DUMMYFUNCTION("""COMPUTED_VALUE"""),4)</f>
        <v>4</v>
      </c>
      <c r="M11">
        <f ca="1">IFERROR(__xludf.DUMMYFUNCTION("""COMPUTED_VALUE"""),26)</f>
        <v>26</v>
      </c>
      <c r="N11" s="8" t="str">
        <f ca="1">IFERROR(__xludf.DUMMYFUNCTION("""COMPUTED_VALUE"""),"Д1")</f>
        <v>Д1</v>
      </c>
    </row>
    <row r="12" spans="1:27" ht="12.45" hidden="1">
      <c r="A12" t="str">
        <f ca="1">IFERROR(__xludf.DUMMYFUNCTION("""COMPUTED_VALUE"""),"V-2-468")</f>
        <v>V-2-468</v>
      </c>
      <c r="B12" t="str">
        <f ca="1">IFERROR(__xludf.DUMMYFUNCTION("""COMPUTED_VALUE"""),"Ширяева")</f>
        <v>Ширяева</v>
      </c>
      <c r="C12" t="str">
        <f ca="1">IFERROR(__xludf.DUMMYFUNCTION("""COMPUTED_VALUE"""),"Дарья")</f>
        <v>Дарья</v>
      </c>
      <c r="D12" t="str">
        <f ca="1">IFERROR(__xludf.DUMMYFUNCTION("""COMPUTED_VALUE"""),"Школа 311")</f>
        <v>Школа 311</v>
      </c>
      <c r="E12" s="5">
        <f ca="1">IFERROR(__xludf.DUMMYFUNCTION("""COMPUTED_VALUE"""),3)</f>
        <v>3</v>
      </c>
      <c r="F12" s="5">
        <f ca="1">IFERROR(__xludf.DUMMYFUNCTION("""COMPUTED_VALUE"""),4)</f>
        <v>4</v>
      </c>
      <c r="G12" s="5">
        <f ca="1">IFERROR(__xludf.DUMMYFUNCTION("""COMPUTED_VALUE"""),4)</f>
        <v>4</v>
      </c>
      <c r="H12" s="5">
        <f ca="1">IFERROR(__xludf.DUMMYFUNCTION("""COMPUTED_VALUE"""),0)</f>
        <v>0</v>
      </c>
      <c r="I12" s="5">
        <f ca="1">IFERROR(__xludf.DUMMYFUNCTION("""COMPUTED_VALUE"""),5)</f>
        <v>5</v>
      </c>
      <c r="J12" s="5">
        <f ca="1">IFERROR(__xludf.DUMMYFUNCTION("""COMPUTED_VALUE"""),3)</f>
        <v>3</v>
      </c>
      <c r="K12" s="5">
        <f ca="1">IFERROR(__xludf.DUMMYFUNCTION("""COMPUTED_VALUE"""),7)</f>
        <v>7</v>
      </c>
      <c r="L12" s="5">
        <f ca="1">IFERROR(__xludf.DUMMYFUNCTION("""COMPUTED_VALUE"""),0)</f>
        <v>0</v>
      </c>
      <c r="M12">
        <f ca="1">IFERROR(__xludf.DUMMYFUNCTION("""COMPUTED_VALUE"""),26)</f>
        <v>26</v>
      </c>
      <c r="N12" s="8" t="str">
        <f ca="1">IFERROR(__xludf.DUMMYFUNCTION("""COMPUTED_VALUE"""),"Д1")</f>
        <v>Д1</v>
      </c>
    </row>
    <row r="13" spans="1:27" ht="12.45" hidden="1">
      <c r="A13" t="str">
        <f ca="1">IFERROR(__xludf.DUMMYFUNCTION("""COMPUTED_VALUE"""),"V-2-397")</f>
        <v>V-2-397</v>
      </c>
      <c r="B13" t="str">
        <f ca="1">IFERROR(__xludf.DUMMYFUNCTION("""COMPUTED_VALUE"""),"Сметанин")</f>
        <v>Сметанин</v>
      </c>
      <c r="C13" t="str">
        <f ca="1">IFERROR(__xludf.DUMMYFUNCTION("""COMPUTED_VALUE"""),"Ярослав")</f>
        <v>Ярослав</v>
      </c>
      <c r="D13" t="str">
        <f ca="1">IFERROR(__xludf.DUMMYFUNCTION("""COMPUTED_VALUE"""),"Лицей 64")</f>
        <v>Лицей 64</v>
      </c>
      <c r="E13" s="5">
        <f ca="1">IFERROR(__xludf.DUMMYFUNCTION("""COMPUTED_VALUE"""),3)</f>
        <v>3</v>
      </c>
      <c r="F13" s="5">
        <f ca="1">IFERROR(__xludf.DUMMYFUNCTION("""COMPUTED_VALUE"""),4)</f>
        <v>4</v>
      </c>
      <c r="G13" s="5">
        <f ca="1">IFERROR(__xludf.DUMMYFUNCTION("""COMPUTED_VALUE"""),4)</f>
        <v>4</v>
      </c>
      <c r="H13" s="5">
        <f ca="1">IFERROR(__xludf.DUMMYFUNCTION("""COMPUTED_VALUE"""),0)</f>
        <v>0</v>
      </c>
      <c r="I13" s="5">
        <f ca="1">IFERROR(__xludf.DUMMYFUNCTION("""COMPUTED_VALUE"""),3)</f>
        <v>3</v>
      </c>
      <c r="J13" s="5">
        <f ca="1">IFERROR(__xludf.DUMMYFUNCTION("""COMPUTED_VALUE"""),3)</f>
        <v>3</v>
      </c>
      <c r="K13" s="5">
        <f ca="1">IFERROR(__xludf.DUMMYFUNCTION("""COMPUTED_VALUE"""),3)</f>
        <v>3</v>
      </c>
      <c r="L13" s="5">
        <f ca="1">IFERROR(__xludf.DUMMYFUNCTION("""COMPUTED_VALUE"""),6)</f>
        <v>6</v>
      </c>
      <c r="M13">
        <f ca="1">IFERROR(__xludf.DUMMYFUNCTION("""COMPUTED_VALUE"""),26)</f>
        <v>26</v>
      </c>
      <c r="N13" s="8" t="str">
        <f ca="1">IFERROR(__xludf.DUMMYFUNCTION("""COMPUTED_VALUE"""),"Д1")</f>
        <v>Д1</v>
      </c>
    </row>
    <row r="14" spans="1:27" ht="12.45" hidden="1">
      <c r="A14" t="str">
        <f ca="1">IFERROR(__xludf.DUMMYFUNCTION("""COMPUTED_VALUE"""),"V-2-436")</f>
        <v>V-2-436</v>
      </c>
      <c r="B14" t="str">
        <f ca="1">IFERROR(__xludf.DUMMYFUNCTION("""COMPUTED_VALUE"""),"Ушаков")</f>
        <v>Ушаков</v>
      </c>
      <c r="C14" t="str">
        <f ca="1">IFERROR(__xludf.DUMMYFUNCTION("""COMPUTED_VALUE"""),"Дмитрий")</f>
        <v>Дмитрий</v>
      </c>
      <c r="D14" t="str">
        <f ca="1">IFERROR(__xludf.DUMMYFUNCTION("""COMPUTED_VALUE"""),"Лицей 369")</f>
        <v>Лицей 369</v>
      </c>
      <c r="E14" s="5">
        <f ca="1">IFERROR(__xludf.DUMMYFUNCTION("""COMPUTED_VALUE"""),3)</f>
        <v>3</v>
      </c>
      <c r="F14" s="5">
        <f ca="1">IFERROR(__xludf.DUMMYFUNCTION("""COMPUTED_VALUE"""),4)</f>
        <v>4</v>
      </c>
      <c r="G14" s="5">
        <f ca="1">IFERROR(__xludf.DUMMYFUNCTION("""COMPUTED_VALUE"""),4)</f>
        <v>4</v>
      </c>
      <c r="H14" s="5">
        <f ca="1">IFERROR(__xludf.DUMMYFUNCTION("""COMPUTED_VALUE"""),0)</f>
        <v>0</v>
      </c>
      <c r="I14" s="5">
        <f ca="1">IFERROR(__xludf.DUMMYFUNCTION("""COMPUTED_VALUE"""),5)</f>
        <v>5</v>
      </c>
      <c r="J14" s="5">
        <f ca="1">IFERROR(__xludf.DUMMYFUNCTION("""COMPUTED_VALUE"""),2)</f>
        <v>2</v>
      </c>
      <c r="K14" s="5">
        <f ca="1">IFERROR(__xludf.DUMMYFUNCTION("""COMPUTED_VALUE"""),3)</f>
        <v>3</v>
      </c>
      <c r="L14" s="5">
        <f ca="1">IFERROR(__xludf.DUMMYFUNCTION("""COMPUTED_VALUE"""),4)</f>
        <v>4</v>
      </c>
      <c r="M14">
        <f ca="1">IFERROR(__xludf.DUMMYFUNCTION("""COMPUTED_VALUE"""),25)</f>
        <v>25</v>
      </c>
      <c r="N14" s="8" t="str">
        <f ca="1">IFERROR(__xludf.DUMMYFUNCTION("""COMPUTED_VALUE"""),"Д2")</f>
        <v>Д2</v>
      </c>
    </row>
    <row r="15" spans="1:27" ht="12.45" hidden="1">
      <c r="A15" t="str">
        <f ca="1">IFERROR(__xludf.DUMMYFUNCTION("""COMPUTED_VALUE"""),"V-2-258")</f>
        <v>V-2-258</v>
      </c>
      <c r="B15" t="str">
        <f ca="1">IFERROR(__xludf.DUMMYFUNCTION("""COMPUTED_VALUE"""),"Лукашенко")</f>
        <v>Лукашенко</v>
      </c>
      <c r="C15" t="str">
        <f ca="1">IFERROR(__xludf.DUMMYFUNCTION("""COMPUTED_VALUE"""),"Катерина")</f>
        <v>Катерина</v>
      </c>
      <c r="D15" t="str">
        <f ca="1">IFERROR(__xludf.DUMMYFUNCTION("""COMPUTED_VALUE"""),"Гимназия 524")</f>
        <v>Гимназия 524</v>
      </c>
      <c r="E15" s="5">
        <f ca="1">IFERROR(__xludf.DUMMYFUNCTION("""COMPUTED_VALUE"""),3)</f>
        <v>3</v>
      </c>
      <c r="F15" s="5">
        <f ca="1">IFERROR(__xludf.DUMMYFUNCTION("""COMPUTED_VALUE"""),4)</f>
        <v>4</v>
      </c>
      <c r="G15" s="5">
        <f ca="1">IFERROR(__xludf.DUMMYFUNCTION("""COMPUTED_VALUE"""),4)</f>
        <v>4</v>
      </c>
      <c r="H15" s="5">
        <f ca="1">IFERROR(__xludf.DUMMYFUNCTION("""COMPUTED_VALUE"""),3)</f>
        <v>3</v>
      </c>
      <c r="I15" s="5">
        <f ca="1">IFERROR(__xludf.DUMMYFUNCTION("""COMPUTED_VALUE"""),5)</f>
        <v>5</v>
      </c>
      <c r="J15" s="5">
        <f ca="1">IFERROR(__xludf.DUMMYFUNCTION("""COMPUTED_VALUE"""),2)</f>
        <v>2</v>
      </c>
      <c r="K15" s="5">
        <f ca="1">IFERROR(__xludf.DUMMYFUNCTION("""COMPUTED_VALUE"""),4)</f>
        <v>4</v>
      </c>
      <c r="L15" s="5">
        <f ca="1">IFERROR(__xludf.DUMMYFUNCTION("""COMPUTED_VALUE"""),0)</f>
        <v>0</v>
      </c>
      <c r="M15">
        <f ca="1">IFERROR(__xludf.DUMMYFUNCTION("""COMPUTED_VALUE"""),25)</f>
        <v>25</v>
      </c>
      <c r="N15" s="8" t="str">
        <f ca="1">IFERROR(__xludf.DUMMYFUNCTION("""COMPUTED_VALUE"""),"Д2")</f>
        <v>Д2</v>
      </c>
    </row>
    <row r="16" spans="1:27" ht="12.45" hidden="1">
      <c r="A16" t="str">
        <f ca="1">IFERROR(__xludf.DUMMYFUNCTION("""COMPUTED_VALUE"""),"III-2-023")</f>
        <v>III-2-023</v>
      </c>
      <c r="B16" t="str">
        <f ca="1">IFERROR(__xludf.DUMMYFUNCTION("""COMPUTED_VALUE"""),"Ассель")</f>
        <v>Ассель</v>
      </c>
      <c r="C16" t="str">
        <f ca="1">IFERROR(__xludf.DUMMYFUNCTION("""COMPUTED_VALUE"""),"Ярослав")</f>
        <v>Ярослав</v>
      </c>
      <c r="D16" t="str">
        <f ca="1">IFERROR(__xludf.DUMMYFUNCTION("""COMPUTED_VALUE"""),"Гимназия 642 Земля и Вселенная")</f>
        <v>Гимназия 642 Земля и Вселенная</v>
      </c>
      <c r="E16" s="5">
        <f ca="1">IFERROR(__xludf.DUMMYFUNCTION("""COMPUTED_VALUE"""),2)</f>
        <v>2</v>
      </c>
      <c r="F16" s="5">
        <f ca="1">IFERROR(__xludf.DUMMYFUNCTION("""COMPUTED_VALUE"""),4)</f>
        <v>4</v>
      </c>
      <c r="G16" s="5">
        <f ca="1">IFERROR(__xludf.DUMMYFUNCTION("""COMPUTED_VALUE"""),2)</f>
        <v>2</v>
      </c>
      <c r="H16" s="5">
        <f ca="1">IFERROR(__xludf.DUMMYFUNCTION("""COMPUTED_VALUE"""),6)</f>
        <v>6</v>
      </c>
      <c r="I16" s="5">
        <f ca="1">IFERROR(__xludf.DUMMYFUNCTION("""COMPUTED_VALUE"""),3)</f>
        <v>3</v>
      </c>
      <c r="J16" s="5">
        <f ca="1">IFERROR(__xludf.DUMMYFUNCTION("""COMPUTED_VALUE"""),3)</f>
        <v>3</v>
      </c>
      <c r="K16" s="5">
        <f ca="1">IFERROR(__xludf.DUMMYFUNCTION("""COMPUTED_VALUE"""),0)</f>
        <v>0</v>
      </c>
      <c r="L16" s="5">
        <f ca="1">IFERROR(__xludf.DUMMYFUNCTION("""COMPUTED_VALUE"""),4)</f>
        <v>4</v>
      </c>
      <c r="M16">
        <f ca="1">IFERROR(__xludf.DUMMYFUNCTION("""COMPUTED_VALUE"""),24)</f>
        <v>24</v>
      </c>
      <c r="N16" s="8" t="str">
        <f ca="1">IFERROR(__xludf.DUMMYFUNCTION("""COMPUTED_VALUE"""),"Д2")</f>
        <v>Д2</v>
      </c>
    </row>
    <row r="17" spans="1:14" ht="12.45" hidden="1">
      <c r="A17" t="str">
        <f ca="1">IFERROR(__xludf.DUMMYFUNCTION("""COMPUTED_VALUE"""),"III-2-061")</f>
        <v>III-2-061</v>
      </c>
      <c r="B17" t="str">
        <f ca="1">IFERROR(__xludf.DUMMYFUNCTION("""COMPUTED_VALUE"""),"Бубнов")</f>
        <v>Бубнов</v>
      </c>
      <c r="C17" t="str">
        <f ca="1">IFERROR(__xludf.DUMMYFUNCTION("""COMPUTED_VALUE"""),"Александр")</f>
        <v>Александр</v>
      </c>
      <c r="D17" t="str">
        <f ca="1">IFERROR(__xludf.DUMMYFUNCTION("""COMPUTED_VALUE"""),"Школа МОБУ ""СОШ ""Муринский ЦО № 1""")</f>
        <v>Школа МОБУ "СОШ "Муринский ЦО № 1"</v>
      </c>
      <c r="E17" s="5">
        <f ca="1">IFERROR(__xludf.DUMMYFUNCTION("""COMPUTED_VALUE"""),3)</f>
        <v>3</v>
      </c>
      <c r="F17" s="5">
        <f ca="1">IFERROR(__xludf.DUMMYFUNCTION("""COMPUTED_VALUE"""),4)</f>
        <v>4</v>
      </c>
      <c r="G17" s="5">
        <f ca="1">IFERROR(__xludf.DUMMYFUNCTION("""COMPUTED_VALUE"""),4)</f>
        <v>4</v>
      </c>
      <c r="H17" s="5">
        <f ca="1">IFERROR(__xludf.DUMMYFUNCTION("""COMPUTED_VALUE"""),6)</f>
        <v>6</v>
      </c>
      <c r="I17" s="5">
        <f ca="1">IFERROR(__xludf.DUMMYFUNCTION("""COMPUTED_VALUE"""),5)</f>
        <v>5</v>
      </c>
      <c r="J17" s="5">
        <f ca="1">IFERROR(__xludf.DUMMYFUNCTION("""COMPUTED_VALUE"""),2)</f>
        <v>2</v>
      </c>
      <c r="K17" s="5">
        <f ca="1">IFERROR(__xludf.DUMMYFUNCTION("""COMPUTED_VALUE"""),0)</f>
        <v>0</v>
      </c>
      <c r="L17" s="5">
        <f ca="1">IFERROR(__xludf.DUMMYFUNCTION("""COMPUTED_VALUE"""),0)</f>
        <v>0</v>
      </c>
      <c r="M17">
        <f ca="1">IFERROR(__xludf.DUMMYFUNCTION("""COMPUTED_VALUE"""),24)</f>
        <v>24</v>
      </c>
      <c r="N17" s="8" t="str">
        <f ca="1">IFERROR(__xludf.DUMMYFUNCTION("""COMPUTED_VALUE"""),"Д2")</f>
        <v>Д2</v>
      </c>
    </row>
    <row r="18" spans="1:14" ht="12.45" hidden="1">
      <c r="A18" t="str">
        <f ca="1">IFERROR(__xludf.DUMMYFUNCTION("""COMPUTED_VALUE"""),"V-2-320")</f>
        <v>V-2-320</v>
      </c>
      <c r="B18" t="str">
        <f ca="1">IFERROR(__xludf.DUMMYFUNCTION("""COMPUTED_VALUE"""),"Новоселов")</f>
        <v>Новоселов</v>
      </c>
      <c r="C18" t="str">
        <f ca="1">IFERROR(__xludf.DUMMYFUNCTION("""COMPUTED_VALUE"""),"Максим")</f>
        <v>Максим</v>
      </c>
      <c r="D18" t="str">
        <f ca="1">IFERROR(__xludf.DUMMYFUNCTION("""COMPUTED_VALUE"""),"Лицей 95")</f>
        <v>Лицей 95</v>
      </c>
      <c r="E18" s="5">
        <f ca="1">IFERROR(__xludf.DUMMYFUNCTION("""COMPUTED_VALUE"""),3)</f>
        <v>3</v>
      </c>
      <c r="F18" s="5">
        <f ca="1">IFERROR(__xludf.DUMMYFUNCTION("""COMPUTED_VALUE"""),0)</f>
        <v>0</v>
      </c>
      <c r="G18" s="5">
        <f ca="1">IFERROR(__xludf.DUMMYFUNCTION("""COMPUTED_VALUE"""),4)</f>
        <v>4</v>
      </c>
      <c r="H18" s="5">
        <f ca="1">IFERROR(__xludf.DUMMYFUNCTION("""COMPUTED_VALUE"""),3)</f>
        <v>3</v>
      </c>
      <c r="I18" s="5">
        <f ca="1">IFERROR(__xludf.DUMMYFUNCTION("""COMPUTED_VALUE"""),0)</f>
        <v>0</v>
      </c>
      <c r="J18" s="5">
        <f ca="1">IFERROR(__xludf.DUMMYFUNCTION("""COMPUTED_VALUE"""),3)</f>
        <v>3</v>
      </c>
      <c r="K18" s="5">
        <f ca="1">IFERROR(__xludf.DUMMYFUNCTION("""COMPUTED_VALUE"""),4)</f>
        <v>4</v>
      </c>
      <c r="L18" s="5">
        <f ca="1">IFERROR(__xludf.DUMMYFUNCTION("""COMPUTED_VALUE"""),6)</f>
        <v>6</v>
      </c>
      <c r="M18">
        <f ca="1">IFERROR(__xludf.DUMMYFUNCTION("""COMPUTED_VALUE"""),23)</f>
        <v>23</v>
      </c>
      <c r="N18" s="8" t="str">
        <f ca="1">IFERROR(__xludf.DUMMYFUNCTION("""COMPUTED_VALUE"""),"Д2")</f>
        <v>Д2</v>
      </c>
    </row>
    <row r="19" spans="1:14" ht="12.45" hidden="1">
      <c r="A19" t="str">
        <f ca="1">IFERROR(__xludf.DUMMYFUNCTION("""COMPUTED_VALUE"""),"III-2-056")</f>
        <v>III-2-056</v>
      </c>
      <c r="B19" t="str">
        <f ca="1">IFERROR(__xludf.DUMMYFUNCTION("""COMPUTED_VALUE"""),"Бойко")</f>
        <v>Бойко</v>
      </c>
      <c r="C19" t="str">
        <f ca="1">IFERROR(__xludf.DUMMYFUNCTION("""COMPUTED_VALUE"""),"Глеб")</f>
        <v>Глеб</v>
      </c>
      <c r="D19" t="str">
        <f ca="1">IFERROR(__xludf.DUMMYFUNCTION("""COMPUTED_VALUE"""),"Гимназия Царскосельская гимназия")</f>
        <v>Гимназия Царскосельская гимназия</v>
      </c>
      <c r="E19" s="5">
        <f ca="1">IFERROR(__xludf.DUMMYFUNCTION("""COMPUTED_VALUE"""),3)</f>
        <v>3</v>
      </c>
      <c r="F19" s="5">
        <f ca="1">IFERROR(__xludf.DUMMYFUNCTION("""COMPUTED_VALUE"""),0)</f>
        <v>0</v>
      </c>
      <c r="G19" s="5">
        <f ca="1">IFERROR(__xludf.DUMMYFUNCTION("""COMPUTED_VALUE"""),4)</f>
        <v>4</v>
      </c>
      <c r="H19" s="5">
        <f ca="1">IFERROR(__xludf.DUMMYFUNCTION("""COMPUTED_VALUE"""),6)</f>
        <v>6</v>
      </c>
      <c r="I19" s="5">
        <f ca="1">IFERROR(__xludf.DUMMYFUNCTION("""COMPUTED_VALUE"""),3)</f>
        <v>3</v>
      </c>
      <c r="J19" s="5">
        <f ca="1">IFERROR(__xludf.DUMMYFUNCTION("""COMPUTED_VALUE"""),3)</f>
        <v>3</v>
      </c>
      <c r="K19" s="5">
        <f ca="1">IFERROR(__xludf.DUMMYFUNCTION("""COMPUTED_VALUE"""),4)</f>
        <v>4</v>
      </c>
      <c r="L19" s="5">
        <f ca="1">IFERROR(__xludf.DUMMYFUNCTION("""COMPUTED_VALUE"""),0)</f>
        <v>0</v>
      </c>
      <c r="M19">
        <f ca="1">IFERROR(__xludf.DUMMYFUNCTION("""COMPUTED_VALUE"""),23)</f>
        <v>23</v>
      </c>
      <c r="N19" s="8" t="str">
        <f ca="1">IFERROR(__xludf.DUMMYFUNCTION("""COMPUTED_VALUE"""),"Д2")</f>
        <v>Д2</v>
      </c>
    </row>
    <row r="20" spans="1:14" ht="12.45" hidden="1">
      <c r="A20" t="str">
        <f ca="1">IFERROR(__xludf.DUMMYFUNCTION("""COMPUTED_VALUE"""),"III-2-152")</f>
        <v>III-2-152</v>
      </c>
      <c r="B20" t="str">
        <f ca="1">IFERROR(__xludf.DUMMYFUNCTION("""COMPUTED_VALUE"""),"Епифанов")</f>
        <v>Епифанов</v>
      </c>
      <c r="C20" t="str">
        <f ca="1">IFERROR(__xludf.DUMMYFUNCTION("""COMPUTED_VALUE"""),"Ярослав")</f>
        <v>Ярослав</v>
      </c>
      <c r="D20" t="str">
        <f ca="1">IFERROR(__xludf.DUMMYFUNCTION("""COMPUTED_VALUE"""),"Школа Центр Образования ""Кудрово""")</f>
        <v>Школа Центр Образования "Кудрово"</v>
      </c>
      <c r="E20" s="5">
        <f ca="1">IFERROR(__xludf.DUMMYFUNCTION("""COMPUTED_VALUE"""),3)</f>
        <v>3</v>
      </c>
      <c r="F20" s="5">
        <f ca="1">IFERROR(__xludf.DUMMYFUNCTION("""COMPUTED_VALUE"""),4)</f>
        <v>4</v>
      </c>
      <c r="G20" s="5">
        <f ca="1">IFERROR(__xludf.DUMMYFUNCTION("""COMPUTED_VALUE"""),4)</f>
        <v>4</v>
      </c>
      <c r="H20" s="5">
        <f ca="1">IFERROR(__xludf.DUMMYFUNCTION("""COMPUTED_VALUE"""),0)</f>
        <v>0</v>
      </c>
      <c r="I20" s="5">
        <f ca="1">IFERROR(__xludf.DUMMYFUNCTION("""COMPUTED_VALUE"""),5)</f>
        <v>5</v>
      </c>
      <c r="J20" s="5">
        <f ca="1">IFERROR(__xludf.DUMMYFUNCTION("""COMPUTED_VALUE"""),2)</f>
        <v>2</v>
      </c>
      <c r="K20" s="5">
        <f ca="1">IFERROR(__xludf.DUMMYFUNCTION("""COMPUTED_VALUE"""),4)</f>
        <v>4</v>
      </c>
      <c r="L20" s="5">
        <f ca="1">IFERROR(__xludf.DUMMYFUNCTION("""COMPUTED_VALUE"""),0)</f>
        <v>0</v>
      </c>
      <c r="M20">
        <f ca="1">IFERROR(__xludf.DUMMYFUNCTION("""COMPUTED_VALUE"""),22)</f>
        <v>22</v>
      </c>
      <c r="N20" s="8" t="str">
        <f ca="1">IFERROR(__xludf.DUMMYFUNCTION("""COMPUTED_VALUE"""),"Д2")</f>
        <v>Д2</v>
      </c>
    </row>
    <row r="21" spans="1:14" ht="12.45" hidden="1">
      <c r="A21" t="str">
        <f ca="1">IFERROR(__xludf.DUMMYFUNCTION("""COMPUTED_VALUE"""),"V-2-408")</f>
        <v>V-2-408</v>
      </c>
      <c r="B21" t="str">
        <f ca="1">IFERROR(__xludf.DUMMYFUNCTION("""COMPUTED_VALUE"""),"Сорокина")</f>
        <v>Сорокина</v>
      </c>
      <c r="C21" t="str">
        <f ca="1">IFERROR(__xludf.DUMMYFUNCTION("""COMPUTED_VALUE"""),"Антонина")</f>
        <v>Антонина</v>
      </c>
      <c r="D21" t="str">
        <f ca="1">IFERROR(__xludf.DUMMYFUNCTION("""COMPUTED_VALUE"""),"Гимназия 524")</f>
        <v>Гимназия 524</v>
      </c>
      <c r="E21" s="5">
        <f ca="1">IFERROR(__xludf.DUMMYFUNCTION("""COMPUTED_VALUE"""),3)</f>
        <v>3</v>
      </c>
      <c r="F21" s="5">
        <f ca="1">IFERROR(__xludf.DUMMYFUNCTION("""COMPUTED_VALUE"""),4)</f>
        <v>4</v>
      </c>
      <c r="G21" s="5">
        <f ca="1">IFERROR(__xludf.DUMMYFUNCTION("""COMPUTED_VALUE"""),4)</f>
        <v>4</v>
      </c>
      <c r="H21" s="5">
        <f ca="1">IFERROR(__xludf.DUMMYFUNCTION("""COMPUTED_VALUE"""),3)</f>
        <v>3</v>
      </c>
      <c r="I21" s="5">
        <f ca="1">IFERROR(__xludf.DUMMYFUNCTION("""COMPUTED_VALUE"""),5)</f>
        <v>5</v>
      </c>
      <c r="J21" s="5">
        <f ca="1">IFERROR(__xludf.DUMMYFUNCTION("""COMPUTED_VALUE"""),0)</f>
        <v>0</v>
      </c>
      <c r="K21" s="5">
        <f ca="1">IFERROR(__xludf.DUMMYFUNCTION("""COMPUTED_VALUE"""),3)</f>
        <v>3</v>
      </c>
      <c r="L21" s="5">
        <f ca="1">IFERROR(__xludf.DUMMYFUNCTION("""COMPUTED_VALUE"""),0)</f>
        <v>0</v>
      </c>
      <c r="M21">
        <f ca="1">IFERROR(__xludf.DUMMYFUNCTION("""COMPUTED_VALUE"""),22)</f>
        <v>22</v>
      </c>
      <c r="N21" s="8" t="str">
        <f ca="1">IFERROR(__xludf.DUMMYFUNCTION("""COMPUTED_VALUE"""),"Д2")</f>
        <v>Д2</v>
      </c>
    </row>
    <row r="22" spans="1:14" ht="12.45" hidden="1">
      <c r="A22" t="str">
        <f ca="1">IFERROR(__xludf.DUMMYFUNCTION("""COMPUTED_VALUE"""),"III-2-169")</f>
        <v>III-2-169</v>
      </c>
      <c r="B22" t="str">
        <f ca="1">IFERROR(__xludf.DUMMYFUNCTION("""COMPUTED_VALUE"""),"Заречнюк")</f>
        <v>Заречнюк</v>
      </c>
      <c r="C22" t="str">
        <f ca="1">IFERROR(__xludf.DUMMYFUNCTION("""COMPUTED_VALUE"""),"Георгий")</f>
        <v>Георгий</v>
      </c>
      <c r="D22" t="str">
        <f ca="1">IFERROR(__xludf.DUMMYFUNCTION("""COMPUTED_VALUE"""),"Гимназия 586")</f>
        <v>Гимназия 586</v>
      </c>
      <c r="E22" s="5">
        <f ca="1">IFERROR(__xludf.DUMMYFUNCTION("""COMPUTED_VALUE"""),3)</f>
        <v>3</v>
      </c>
      <c r="F22" s="5">
        <f ca="1">IFERROR(__xludf.DUMMYFUNCTION("""COMPUTED_VALUE"""),1)</f>
        <v>1</v>
      </c>
      <c r="G22" s="5">
        <f ca="1">IFERROR(__xludf.DUMMYFUNCTION("""COMPUTED_VALUE"""),4)</f>
        <v>4</v>
      </c>
      <c r="H22" s="5">
        <f ca="1">IFERROR(__xludf.DUMMYFUNCTION("""COMPUTED_VALUE"""),6)</f>
        <v>6</v>
      </c>
      <c r="I22" s="5">
        <f ca="1">IFERROR(__xludf.DUMMYFUNCTION("""COMPUTED_VALUE"""),5)</f>
        <v>5</v>
      </c>
      <c r="J22" s="5">
        <f ca="1">IFERROR(__xludf.DUMMYFUNCTION("""COMPUTED_VALUE"""),3)</f>
        <v>3</v>
      </c>
      <c r="K22" s="5">
        <f ca="1">IFERROR(__xludf.DUMMYFUNCTION("""COMPUTED_VALUE"""),0)</f>
        <v>0</v>
      </c>
      <c r="L22" s="5">
        <f ca="1">IFERROR(__xludf.DUMMYFUNCTION("""COMPUTED_VALUE"""),0)</f>
        <v>0</v>
      </c>
      <c r="M22">
        <f ca="1">IFERROR(__xludf.DUMMYFUNCTION("""COMPUTED_VALUE"""),22)</f>
        <v>22</v>
      </c>
      <c r="N22" s="8" t="str">
        <f ca="1">IFERROR(__xludf.DUMMYFUNCTION("""COMPUTED_VALUE"""),"Д2")</f>
        <v>Д2</v>
      </c>
    </row>
    <row r="23" spans="1:14" ht="12.45" hidden="1">
      <c r="A23" t="str">
        <f ca="1">IFERROR(__xludf.DUMMYFUNCTION("""COMPUTED_VALUE"""),"V-2-354")</f>
        <v>V-2-354</v>
      </c>
      <c r="B23" t="str">
        <f ca="1">IFERROR(__xludf.DUMMYFUNCTION("""COMPUTED_VALUE"""),"Резвов")</f>
        <v>Резвов</v>
      </c>
      <c r="C23" t="str">
        <f ca="1">IFERROR(__xludf.DUMMYFUNCTION("""COMPUTED_VALUE"""),"Сергей")</f>
        <v>Сергей</v>
      </c>
      <c r="D23" t="str">
        <f ca="1">IFERROR(__xludf.DUMMYFUNCTION("""COMPUTED_VALUE"""),"Гимназия 196")</f>
        <v>Гимназия 196</v>
      </c>
      <c r="E23" s="5">
        <f ca="1">IFERROR(__xludf.DUMMYFUNCTION("""COMPUTED_VALUE"""),3)</f>
        <v>3</v>
      </c>
      <c r="F23" s="5">
        <f ca="1">IFERROR(__xludf.DUMMYFUNCTION("""COMPUTED_VALUE"""),4)</f>
        <v>4</v>
      </c>
      <c r="G23" s="5">
        <f ca="1">IFERROR(__xludf.DUMMYFUNCTION("""COMPUTED_VALUE"""),4)</f>
        <v>4</v>
      </c>
      <c r="H23" s="5">
        <f ca="1">IFERROR(__xludf.DUMMYFUNCTION("""COMPUTED_VALUE"""),6)</f>
        <v>6</v>
      </c>
      <c r="I23" s="5">
        <f ca="1">IFERROR(__xludf.DUMMYFUNCTION("""COMPUTED_VALUE"""),3)</f>
        <v>3</v>
      </c>
      <c r="J23" s="5">
        <f ca="1">IFERROR(__xludf.DUMMYFUNCTION("""COMPUTED_VALUE"""),2)</f>
        <v>2</v>
      </c>
      <c r="K23" s="5">
        <f ca="1">IFERROR(__xludf.DUMMYFUNCTION("""COMPUTED_VALUE"""),0)</f>
        <v>0</v>
      </c>
      <c r="L23" s="5">
        <f ca="1">IFERROR(__xludf.DUMMYFUNCTION("""COMPUTED_VALUE"""),0)</f>
        <v>0</v>
      </c>
      <c r="M23">
        <f ca="1">IFERROR(__xludf.DUMMYFUNCTION("""COMPUTED_VALUE"""),22)</f>
        <v>22</v>
      </c>
      <c r="N23" s="8" t="str">
        <f ca="1">IFERROR(__xludf.DUMMYFUNCTION("""COMPUTED_VALUE"""),"Д2")</f>
        <v>Д2</v>
      </c>
    </row>
    <row r="24" spans="1:14" ht="12.45" hidden="1">
      <c r="A24" t="str">
        <f ca="1">IFERROR(__xludf.DUMMYFUNCTION("""COMPUTED_VALUE"""),"V-2-438")</f>
        <v>V-2-438</v>
      </c>
      <c r="B24" t="str">
        <f ca="1">IFERROR(__xludf.DUMMYFUNCTION("""COMPUTED_VALUE"""),"Фалейтор")</f>
        <v>Фалейтор</v>
      </c>
      <c r="C24" t="str">
        <f ca="1">IFERROR(__xludf.DUMMYFUNCTION("""COMPUTED_VALUE"""),"Даниэль")</f>
        <v>Даниэль</v>
      </c>
      <c r="D24" t="str">
        <f ca="1">IFERROR(__xludf.DUMMYFUNCTION("""COMPUTED_VALUE"""),"Школа ГБОУ СОШ 292 фрунзенского района")</f>
        <v>Школа ГБОУ СОШ 292 фрунзенского района</v>
      </c>
      <c r="E24" s="5">
        <f ca="1">IFERROR(__xludf.DUMMYFUNCTION("""COMPUTED_VALUE"""),3)</f>
        <v>3</v>
      </c>
      <c r="F24" s="5">
        <f ca="1">IFERROR(__xludf.DUMMYFUNCTION("""COMPUTED_VALUE"""),4)</f>
        <v>4</v>
      </c>
      <c r="G24" s="5">
        <f ca="1">IFERROR(__xludf.DUMMYFUNCTION("""COMPUTED_VALUE"""),4)</f>
        <v>4</v>
      </c>
      <c r="H24" s="5">
        <f ca="1">IFERROR(__xludf.DUMMYFUNCTION("""COMPUTED_VALUE"""),6)</f>
        <v>6</v>
      </c>
      <c r="I24" s="5">
        <f ca="1">IFERROR(__xludf.DUMMYFUNCTION("""COMPUTED_VALUE"""),5)</f>
        <v>5</v>
      </c>
      <c r="J24" s="5">
        <f ca="1">IFERROR(__xludf.DUMMYFUNCTION("""COMPUTED_VALUE"""),0)</f>
        <v>0</v>
      </c>
      <c r="K24" s="5">
        <f ca="1">IFERROR(__xludf.DUMMYFUNCTION("""COMPUTED_VALUE"""),0)</f>
        <v>0</v>
      </c>
      <c r="L24" s="5">
        <f ca="1">IFERROR(__xludf.DUMMYFUNCTION("""COMPUTED_VALUE"""),0)</f>
        <v>0</v>
      </c>
      <c r="M24">
        <f ca="1">IFERROR(__xludf.DUMMYFUNCTION("""COMPUTED_VALUE"""),22)</f>
        <v>22</v>
      </c>
      <c r="N24" s="8" t="str">
        <f ca="1">IFERROR(__xludf.DUMMYFUNCTION("""COMPUTED_VALUE"""),"Д2")</f>
        <v>Д2</v>
      </c>
    </row>
    <row r="25" spans="1:14" ht="12.45" hidden="1">
      <c r="A25" t="str">
        <f ca="1">IFERROR(__xludf.DUMMYFUNCTION("""COMPUTED_VALUE"""),"III-2-162")</f>
        <v>III-2-162</v>
      </c>
      <c r="B25" t="str">
        <f ca="1">IFERROR(__xludf.DUMMYFUNCTION("""COMPUTED_VALUE"""),"Жиров")</f>
        <v>Жиров</v>
      </c>
      <c r="C25" t="str">
        <f ca="1">IFERROR(__xludf.DUMMYFUNCTION("""COMPUTED_VALUE"""),"Сергей")</f>
        <v>Сергей</v>
      </c>
      <c r="D25" t="str">
        <f ca="1">IFERROR(__xludf.DUMMYFUNCTION("""COMPUTED_VALUE"""),"Школа 300")</f>
        <v>Школа 300</v>
      </c>
      <c r="E25" s="5">
        <f ca="1">IFERROR(__xludf.DUMMYFUNCTION("""COMPUTED_VALUE"""),3)</f>
        <v>3</v>
      </c>
      <c r="F25" s="5">
        <f ca="1">IFERROR(__xludf.DUMMYFUNCTION("""COMPUTED_VALUE"""),0)</f>
        <v>0</v>
      </c>
      <c r="G25" s="5">
        <f ca="1">IFERROR(__xludf.DUMMYFUNCTION("""COMPUTED_VALUE"""),4)</f>
        <v>4</v>
      </c>
      <c r="H25" s="5">
        <f ca="1">IFERROR(__xludf.DUMMYFUNCTION("""COMPUTED_VALUE"""),0)</f>
        <v>0</v>
      </c>
      <c r="I25" s="5">
        <f ca="1">IFERROR(__xludf.DUMMYFUNCTION("""COMPUTED_VALUE"""),5)</f>
        <v>5</v>
      </c>
      <c r="J25" s="5">
        <f ca="1">IFERROR(__xludf.DUMMYFUNCTION("""COMPUTED_VALUE"""),0)</f>
        <v>0</v>
      </c>
      <c r="K25" s="5">
        <f ca="1">IFERROR(__xludf.DUMMYFUNCTION("""COMPUTED_VALUE"""),3)</f>
        <v>3</v>
      </c>
      <c r="L25" s="5">
        <f ca="1">IFERROR(__xludf.DUMMYFUNCTION("""COMPUTED_VALUE"""),6)</f>
        <v>6</v>
      </c>
      <c r="M25">
        <f ca="1">IFERROR(__xludf.DUMMYFUNCTION("""COMPUTED_VALUE"""),21)</f>
        <v>21</v>
      </c>
      <c r="N25" s="8" t="str">
        <f ca="1">IFERROR(__xludf.DUMMYFUNCTION("""COMPUTED_VALUE"""),"Д3")</f>
        <v>Д3</v>
      </c>
    </row>
    <row r="26" spans="1:14" ht="12.45" hidden="1">
      <c r="A26" t="str">
        <f ca="1">IFERROR(__xludf.DUMMYFUNCTION("""COMPUTED_VALUE"""),"V-2-308")</f>
        <v>V-2-308</v>
      </c>
      <c r="B26" t="str">
        <f ca="1">IFERROR(__xludf.DUMMYFUNCTION("""COMPUTED_VALUE"""),"Незнанова")</f>
        <v>Незнанова</v>
      </c>
      <c r="C26" t="str">
        <f ca="1">IFERROR(__xludf.DUMMYFUNCTION("""COMPUTED_VALUE"""),"Эмма")</f>
        <v>Эмма</v>
      </c>
      <c r="D26" t="str">
        <f ca="1">IFERROR(__xludf.DUMMYFUNCTION("""COMPUTED_VALUE"""),"Лицей 470")</f>
        <v>Лицей 470</v>
      </c>
      <c r="E26" s="5">
        <f ca="1">IFERROR(__xludf.DUMMYFUNCTION("""COMPUTED_VALUE"""),3)</f>
        <v>3</v>
      </c>
      <c r="F26" s="5">
        <f ca="1">IFERROR(__xludf.DUMMYFUNCTION("""COMPUTED_VALUE"""),4)</f>
        <v>4</v>
      </c>
      <c r="G26" s="5">
        <f ca="1">IFERROR(__xludf.DUMMYFUNCTION("""COMPUTED_VALUE"""),4)</f>
        <v>4</v>
      </c>
      <c r="H26" s="5">
        <f ca="1">IFERROR(__xludf.DUMMYFUNCTION("""COMPUTED_VALUE"""),0)</f>
        <v>0</v>
      </c>
      <c r="I26" s="5">
        <f ca="1">IFERROR(__xludf.DUMMYFUNCTION("""COMPUTED_VALUE"""),1)</f>
        <v>1</v>
      </c>
      <c r="J26" s="5">
        <f ca="1">IFERROR(__xludf.DUMMYFUNCTION("""COMPUTED_VALUE"""),3)</f>
        <v>3</v>
      </c>
      <c r="K26" s="5">
        <f ca="1">IFERROR(__xludf.DUMMYFUNCTION("""COMPUTED_VALUE"""),0)</f>
        <v>0</v>
      </c>
      <c r="L26" s="5">
        <f ca="1">IFERROR(__xludf.DUMMYFUNCTION("""COMPUTED_VALUE"""),6)</f>
        <v>6</v>
      </c>
      <c r="M26">
        <f ca="1">IFERROR(__xludf.DUMMYFUNCTION("""COMPUTED_VALUE"""),21)</f>
        <v>21</v>
      </c>
      <c r="N26" s="8" t="str">
        <f ca="1">IFERROR(__xludf.DUMMYFUNCTION("""COMPUTED_VALUE"""),"Д3")</f>
        <v>Д3</v>
      </c>
    </row>
    <row r="27" spans="1:14" ht="12.45" hidden="1">
      <c r="A27" t="str">
        <f ca="1">IFERROR(__xludf.DUMMYFUNCTION("""COMPUTED_VALUE"""),"V-2-447")</f>
        <v>V-2-447</v>
      </c>
      <c r="B27" t="str">
        <f ca="1">IFERROR(__xludf.DUMMYFUNCTION("""COMPUTED_VALUE"""),"Фоменко")</f>
        <v>Фоменко</v>
      </c>
      <c r="C27" t="str">
        <f ca="1">IFERROR(__xludf.DUMMYFUNCTION("""COMPUTED_VALUE"""),"Александр")</f>
        <v>Александр</v>
      </c>
      <c r="D27" t="str">
        <f ca="1">IFERROR(__xludf.DUMMYFUNCTION("""COMPUTED_VALUE"""),"Школа 503")</f>
        <v>Школа 503</v>
      </c>
      <c r="E27" s="5">
        <f ca="1">IFERROR(__xludf.DUMMYFUNCTION("""COMPUTED_VALUE"""),3)</f>
        <v>3</v>
      </c>
      <c r="F27" s="5">
        <f ca="1">IFERROR(__xludf.DUMMYFUNCTION("""COMPUTED_VALUE"""),4)</f>
        <v>4</v>
      </c>
      <c r="G27" s="5">
        <f ca="1">IFERROR(__xludf.DUMMYFUNCTION("""COMPUTED_VALUE"""),4)</f>
        <v>4</v>
      </c>
      <c r="H27" s="5">
        <f ca="1">IFERROR(__xludf.DUMMYFUNCTION("""COMPUTED_VALUE"""),3)</f>
        <v>3</v>
      </c>
      <c r="I27" s="5">
        <f ca="1">IFERROR(__xludf.DUMMYFUNCTION("""COMPUTED_VALUE"""),0)</f>
        <v>0</v>
      </c>
      <c r="J27" s="5">
        <f ca="1">IFERROR(__xludf.DUMMYFUNCTION("""COMPUTED_VALUE"""),3)</f>
        <v>3</v>
      </c>
      <c r="K27" s="5">
        <f ca="1">IFERROR(__xludf.DUMMYFUNCTION("""COMPUTED_VALUE"""),4)</f>
        <v>4</v>
      </c>
      <c r="L27" s="5">
        <f ca="1">IFERROR(__xludf.DUMMYFUNCTION("""COMPUTED_VALUE"""),0)</f>
        <v>0</v>
      </c>
      <c r="M27">
        <f ca="1">IFERROR(__xludf.DUMMYFUNCTION("""COMPUTED_VALUE"""),21)</f>
        <v>21</v>
      </c>
      <c r="N27" s="8" t="str">
        <f ca="1">IFERROR(__xludf.DUMMYFUNCTION("""COMPUTED_VALUE"""),"Д3")</f>
        <v>Д3</v>
      </c>
    </row>
    <row r="28" spans="1:14" ht="12.45" hidden="1">
      <c r="A28" t="str">
        <f ca="1">IFERROR(__xludf.DUMMYFUNCTION("""COMPUTED_VALUE"""),"III-2-049")</f>
        <v>III-2-049</v>
      </c>
      <c r="B28" t="str">
        <f ca="1">IFERROR(__xludf.DUMMYFUNCTION("""COMPUTED_VALUE"""),"Богатырев")</f>
        <v>Богатырев</v>
      </c>
      <c r="C28" t="str">
        <f ca="1">IFERROR(__xludf.DUMMYFUNCTION("""COMPUTED_VALUE"""),"Арсений")</f>
        <v>Арсений</v>
      </c>
      <c r="D28" t="str">
        <f ca="1">IFERROR(__xludf.DUMMYFUNCTION("""COMPUTED_VALUE"""),"Школа 292")</f>
        <v>Школа 292</v>
      </c>
      <c r="E28" s="5">
        <f ca="1">IFERROR(__xludf.DUMMYFUNCTION("""COMPUTED_VALUE"""),3)</f>
        <v>3</v>
      </c>
      <c r="F28" s="5">
        <f ca="1">IFERROR(__xludf.DUMMYFUNCTION("""COMPUTED_VALUE"""),4)</f>
        <v>4</v>
      </c>
      <c r="G28" s="5">
        <f ca="1">IFERROR(__xludf.DUMMYFUNCTION("""COMPUTED_VALUE"""),4)</f>
        <v>4</v>
      </c>
      <c r="H28" s="5">
        <f ca="1">IFERROR(__xludf.DUMMYFUNCTION("""COMPUTED_VALUE"""),3)</f>
        <v>3</v>
      </c>
      <c r="I28" s="5">
        <f ca="1">IFERROR(__xludf.DUMMYFUNCTION("""COMPUTED_VALUE"""),3)</f>
        <v>3</v>
      </c>
      <c r="J28" s="5">
        <f ca="1">IFERROR(__xludf.DUMMYFUNCTION("""COMPUTED_VALUE"""),0)</f>
        <v>0</v>
      </c>
      <c r="K28" s="5">
        <f ca="1">IFERROR(__xludf.DUMMYFUNCTION("""COMPUTED_VALUE"""),4)</f>
        <v>4</v>
      </c>
      <c r="L28" s="5">
        <f ca="1">IFERROR(__xludf.DUMMYFUNCTION("""COMPUTED_VALUE"""),0)</f>
        <v>0</v>
      </c>
      <c r="M28">
        <f ca="1">IFERROR(__xludf.DUMMYFUNCTION("""COMPUTED_VALUE"""),21)</f>
        <v>21</v>
      </c>
      <c r="N28" s="8" t="str">
        <f ca="1">IFERROR(__xludf.DUMMYFUNCTION("""COMPUTED_VALUE"""),"Д3")</f>
        <v>Д3</v>
      </c>
    </row>
    <row r="29" spans="1:14" ht="12.45" hidden="1">
      <c r="A29" t="str">
        <f ca="1">IFERROR(__xludf.DUMMYFUNCTION("""COMPUTED_VALUE"""),"V-2-383")</f>
        <v>V-2-383</v>
      </c>
      <c r="B29" t="str">
        <f ca="1">IFERROR(__xludf.DUMMYFUNCTION("""COMPUTED_VALUE"""),"Серебренников")</f>
        <v>Серебренников</v>
      </c>
      <c r="C29" t="str">
        <f ca="1">IFERROR(__xludf.DUMMYFUNCTION("""COMPUTED_VALUE"""),"Никита")</f>
        <v>Никита</v>
      </c>
      <c r="D29" t="str">
        <f ca="1">IFERROR(__xludf.DUMMYFUNCTION("""COMPUTED_VALUE"""),"Школа 358")</f>
        <v>Школа 358</v>
      </c>
      <c r="E29" s="5">
        <f ca="1">IFERROR(__xludf.DUMMYFUNCTION("""COMPUTED_VALUE"""),3)</f>
        <v>3</v>
      </c>
      <c r="F29" s="5">
        <f ca="1">IFERROR(__xludf.DUMMYFUNCTION("""COMPUTED_VALUE"""),4)</f>
        <v>4</v>
      </c>
      <c r="G29" s="5">
        <f ca="1">IFERROR(__xludf.DUMMYFUNCTION("""COMPUTED_VALUE"""),4)</f>
        <v>4</v>
      </c>
      <c r="H29" s="5">
        <f ca="1">IFERROR(__xludf.DUMMYFUNCTION("""COMPUTED_VALUE"""),3)</f>
        <v>3</v>
      </c>
      <c r="I29" s="5">
        <f ca="1">IFERROR(__xludf.DUMMYFUNCTION("""COMPUTED_VALUE"""),1)</f>
        <v>1</v>
      </c>
      <c r="J29" s="5">
        <f ca="1">IFERROR(__xludf.DUMMYFUNCTION("""COMPUTED_VALUE"""),5)</f>
        <v>5</v>
      </c>
      <c r="K29" s="5">
        <f ca="1">IFERROR(__xludf.DUMMYFUNCTION("""COMPUTED_VALUE"""),1)</f>
        <v>1</v>
      </c>
      <c r="L29" s="5">
        <f ca="1">IFERROR(__xludf.DUMMYFUNCTION("""COMPUTED_VALUE"""),0)</f>
        <v>0</v>
      </c>
      <c r="M29">
        <f ca="1">IFERROR(__xludf.DUMMYFUNCTION("""COMPUTED_VALUE"""),21)</f>
        <v>21</v>
      </c>
      <c r="N29" s="8" t="str">
        <f ca="1">IFERROR(__xludf.DUMMYFUNCTION("""COMPUTED_VALUE"""),"Д3")</f>
        <v>Д3</v>
      </c>
    </row>
    <row r="30" spans="1:14" ht="12.45" hidden="1">
      <c r="A30" t="str">
        <f ca="1">IFERROR(__xludf.DUMMYFUNCTION("""COMPUTED_VALUE"""),"V-2-264")</f>
        <v>V-2-264</v>
      </c>
      <c r="B30" t="str">
        <f ca="1">IFERROR(__xludf.DUMMYFUNCTION("""COMPUTED_VALUE"""),"Макаров")</f>
        <v>Макаров</v>
      </c>
      <c r="C30" t="str">
        <f ca="1">IFERROR(__xludf.DUMMYFUNCTION("""COMPUTED_VALUE"""),"Павел")</f>
        <v>Павел</v>
      </c>
      <c r="D30" t="str">
        <f ca="1">IFERROR(__xludf.DUMMYFUNCTION("""COMPUTED_VALUE"""),"Гимназия 2")</f>
        <v>Гимназия 2</v>
      </c>
      <c r="E30" s="5">
        <f ca="1">IFERROR(__xludf.DUMMYFUNCTION("""COMPUTED_VALUE"""),3)</f>
        <v>3</v>
      </c>
      <c r="F30" s="5">
        <f ca="1">IFERROR(__xludf.DUMMYFUNCTION("""COMPUTED_VALUE"""),4)</f>
        <v>4</v>
      </c>
      <c r="G30" s="5">
        <f ca="1">IFERROR(__xludf.DUMMYFUNCTION("""COMPUTED_VALUE"""),4)</f>
        <v>4</v>
      </c>
      <c r="H30" s="5">
        <f ca="1">IFERROR(__xludf.DUMMYFUNCTION("""COMPUTED_VALUE"""),0)</f>
        <v>0</v>
      </c>
      <c r="I30" s="5">
        <f ca="1">IFERROR(__xludf.DUMMYFUNCTION("""COMPUTED_VALUE"""),5)</f>
        <v>5</v>
      </c>
      <c r="J30" s="5">
        <f ca="1">IFERROR(__xludf.DUMMYFUNCTION("""COMPUTED_VALUE"""),5)</f>
        <v>5</v>
      </c>
      <c r="K30" s="5">
        <f ca="1">IFERROR(__xludf.DUMMYFUNCTION("""COMPUTED_VALUE"""),0)</f>
        <v>0</v>
      </c>
      <c r="L30" s="5">
        <f ca="1">IFERROR(__xludf.DUMMYFUNCTION("""COMPUTED_VALUE"""),0)</f>
        <v>0</v>
      </c>
      <c r="M30">
        <f ca="1">IFERROR(__xludf.DUMMYFUNCTION("""COMPUTED_VALUE"""),21)</f>
        <v>21</v>
      </c>
      <c r="N30" s="8" t="str">
        <f ca="1">IFERROR(__xludf.DUMMYFUNCTION("""COMPUTED_VALUE"""),"Д3")</f>
        <v>Д3</v>
      </c>
    </row>
    <row r="31" spans="1:14" ht="12.45" hidden="1">
      <c r="A31" t="str">
        <f ca="1">IFERROR(__xludf.DUMMYFUNCTION("""COMPUTED_VALUE"""),"III-2-022")</f>
        <v>III-2-022</v>
      </c>
      <c r="B31" t="str">
        <f ca="1">IFERROR(__xludf.DUMMYFUNCTION("""COMPUTED_VALUE"""),"Артюхов")</f>
        <v>Артюхов</v>
      </c>
      <c r="C31" t="str">
        <f ca="1">IFERROR(__xludf.DUMMYFUNCTION("""COMPUTED_VALUE"""),"Антон")</f>
        <v>Антон</v>
      </c>
      <c r="D31" t="str">
        <f ca="1">IFERROR(__xludf.DUMMYFUNCTION("""COMPUTED_VALUE"""),"Лицей Лицей 22")</f>
        <v>Лицей Лицей 22</v>
      </c>
      <c r="E31" s="5">
        <f ca="1">IFERROR(__xludf.DUMMYFUNCTION("""COMPUTED_VALUE"""),3)</f>
        <v>3</v>
      </c>
      <c r="F31" s="5">
        <f ca="1">IFERROR(__xludf.DUMMYFUNCTION("""COMPUTED_VALUE"""),0)</f>
        <v>0</v>
      </c>
      <c r="G31" s="5">
        <f ca="1">IFERROR(__xludf.DUMMYFUNCTION("""COMPUTED_VALUE"""),4)</f>
        <v>4</v>
      </c>
      <c r="H31" s="5">
        <f ca="1">IFERROR(__xludf.DUMMYFUNCTION("""COMPUTED_VALUE"""),6)</f>
        <v>6</v>
      </c>
      <c r="I31" s="5">
        <f ca="1">IFERROR(__xludf.DUMMYFUNCTION("""COMPUTED_VALUE"""),5)</f>
        <v>5</v>
      </c>
      <c r="J31" s="5">
        <f ca="1">IFERROR(__xludf.DUMMYFUNCTION("""COMPUTED_VALUE"""),3)</f>
        <v>3</v>
      </c>
      <c r="K31" s="5">
        <f ca="1">IFERROR(__xludf.DUMMYFUNCTION("""COMPUTED_VALUE"""),0)</f>
        <v>0</v>
      </c>
      <c r="L31" s="5">
        <f ca="1">IFERROR(__xludf.DUMMYFUNCTION("""COMPUTED_VALUE"""),0)</f>
        <v>0</v>
      </c>
      <c r="M31">
        <f ca="1">IFERROR(__xludf.DUMMYFUNCTION("""COMPUTED_VALUE"""),21)</f>
        <v>21</v>
      </c>
      <c r="N31" s="8" t="str">
        <f ca="1">IFERROR(__xludf.DUMMYFUNCTION("""COMPUTED_VALUE"""),"Д3")</f>
        <v>Д3</v>
      </c>
    </row>
    <row r="32" spans="1:14" ht="12.45" hidden="1">
      <c r="A32" t="str">
        <f ca="1">IFERROR(__xludf.DUMMYFUNCTION("""COMPUTED_VALUE"""),"III-2-086")</f>
        <v>III-2-086</v>
      </c>
      <c r="B32" t="str">
        <f ca="1">IFERROR(__xludf.DUMMYFUNCTION("""COMPUTED_VALUE"""),"Вьюгинов")</f>
        <v>Вьюгинов</v>
      </c>
      <c r="C32" t="str">
        <f ca="1">IFERROR(__xludf.DUMMYFUNCTION("""COMPUTED_VALUE"""),"Андрей")</f>
        <v>Андрей</v>
      </c>
      <c r="D32" t="str">
        <f ca="1">IFERROR(__xludf.DUMMYFUNCTION("""COMPUTED_VALUE"""),"Школа 327")</f>
        <v>Школа 327</v>
      </c>
      <c r="E32" s="5">
        <f ca="1">IFERROR(__xludf.DUMMYFUNCTION("""COMPUTED_VALUE"""),3)</f>
        <v>3</v>
      </c>
      <c r="F32" s="5">
        <f ca="1">IFERROR(__xludf.DUMMYFUNCTION("""COMPUTED_VALUE"""),4)</f>
        <v>4</v>
      </c>
      <c r="G32" s="5">
        <f ca="1">IFERROR(__xludf.DUMMYFUNCTION("""COMPUTED_VALUE"""),4)</f>
        <v>4</v>
      </c>
      <c r="H32" s="5">
        <f ca="1">IFERROR(__xludf.DUMMYFUNCTION("""COMPUTED_VALUE"""),2)</f>
        <v>2</v>
      </c>
      <c r="I32" s="5">
        <f ca="1">IFERROR(__xludf.DUMMYFUNCTION("""COMPUTED_VALUE"""),5)</f>
        <v>5</v>
      </c>
      <c r="J32" s="5">
        <f ca="1">IFERROR(__xludf.DUMMYFUNCTION("""COMPUTED_VALUE"""),3)</f>
        <v>3</v>
      </c>
      <c r="K32" s="5">
        <f ca="1">IFERROR(__xludf.DUMMYFUNCTION("""COMPUTED_VALUE"""),0)</f>
        <v>0</v>
      </c>
      <c r="L32" s="5">
        <f ca="1">IFERROR(__xludf.DUMMYFUNCTION("""COMPUTED_VALUE"""),0)</f>
        <v>0</v>
      </c>
      <c r="M32">
        <f ca="1">IFERROR(__xludf.DUMMYFUNCTION("""COMPUTED_VALUE"""),21)</f>
        <v>21</v>
      </c>
      <c r="N32" s="8" t="str">
        <f ca="1">IFERROR(__xludf.DUMMYFUNCTION("""COMPUTED_VALUE"""),"Д3")</f>
        <v>Д3</v>
      </c>
    </row>
    <row r="33" spans="1:14" ht="12.45" hidden="1">
      <c r="A33" t="str">
        <f ca="1">IFERROR(__xludf.DUMMYFUNCTION("""COMPUTED_VALUE"""),"III-2-229")</f>
        <v>III-2-229</v>
      </c>
      <c r="B33" t="str">
        <f ca="1">IFERROR(__xludf.DUMMYFUNCTION("""COMPUTED_VALUE"""),"Кудасова")</f>
        <v>Кудасова</v>
      </c>
      <c r="C33" t="str">
        <f ca="1">IFERROR(__xludf.DUMMYFUNCTION("""COMPUTED_VALUE"""),"Виктория")</f>
        <v>Виктория</v>
      </c>
      <c r="D33" t="str">
        <f ca="1">IFERROR(__xludf.DUMMYFUNCTION("""COMPUTED_VALUE"""),"Гимназия 524")</f>
        <v>Гимназия 524</v>
      </c>
      <c r="E33" s="5">
        <f ca="1">IFERROR(__xludf.DUMMYFUNCTION("""COMPUTED_VALUE"""),3)</f>
        <v>3</v>
      </c>
      <c r="F33" s="5">
        <f ca="1">IFERROR(__xludf.DUMMYFUNCTION("""COMPUTED_VALUE"""),4)</f>
        <v>4</v>
      </c>
      <c r="G33" s="5">
        <f ca="1">IFERROR(__xludf.DUMMYFUNCTION("""COMPUTED_VALUE"""),4)</f>
        <v>4</v>
      </c>
      <c r="H33" s="5">
        <f ca="1">IFERROR(__xludf.DUMMYFUNCTION("""COMPUTED_VALUE"""),0)</f>
        <v>0</v>
      </c>
      <c r="I33" s="5">
        <f ca="1">IFERROR(__xludf.DUMMYFUNCTION("""COMPUTED_VALUE"""),3)</f>
        <v>3</v>
      </c>
      <c r="J33" s="5">
        <f ca="1">IFERROR(__xludf.DUMMYFUNCTION("""COMPUTED_VALUE"""),2)</f>
        <v>2</v>
      </c>
      <c r="K33" s="5">
        <f ca="1">IFERROR(__xludf.DUMMYFUNCTION("""COMPUTED_VALUE"""),4)</f>
        <v>4</v>
      </c>
      <c r="L33" s="5">
        <f ca="1">IFERROR(__xludf.DUMMYFUNCTION("""COMPUTED_VALUE"""),0)</f>
        <v>0</v>
      </c>
      <c r="M33">
        <f ca="1">IFERROR(__xludf.DUMMYFUNCTION("""COMPUTED_VALUE"""),20)</f>
        <v>20</v>
      </c>
      <c r="N33" s="8" t="str">
        <f ca="1">IFERROR(__xludf.DUMMYFUNCTION("""COMPUTED_VALUE"""),"Д3")</f>
        <v>Д3</v>
      </c>
    </row>
    <row r="34" spans="1:14" ht="12.45" hidden="1">
      <c r="A34" t="str">
        <f ca="1">IFERROR(__xludf.DUMMYFUNCTION("""COMPUTED_VALUE"""),"V-2-352")</f>
        <v>V-2-352</v>
      </c>
      <c r="B34" t="str">
        <f ca="1">IFERROR(__xludf.DUMMYFUNCTION("""COMPUTED_VALUE"""),"Пуляева")</f>
        <v>Пуляева</v>
      </c>
      <c r="C34" t="str">
        <f ca="1">IFERROR(__xludf.DUMMYFUNCTION("""COMPUTED_VALUE"""),"Василиса")</f>
        <v>Василиса</v>
      </c>
      <c r="D34" t="str">
        <f ca="1">IFERROR(__xludf.DUMMYFUNCTION("""COMPUTED_VALUE"""),"Школа 489")</f>
        <v>Школа 489</v>
      </c>
      <c r="E34" s="5">
        <f ca="1">IFERROR(__xludf.DUMMYFUNCTION("""COMPUTED_VALUE"""),3)</f>
        <v>3</v>
      </c>
      <c r="F34" s="5">
        <f ca="1">IFERROR(__xludf.DUMMYFUNCTION("""COMPUTED_VALUE"""),4)</f>
        <v>4</v>
      </c>
      <c r="G34" s="5">
        <f ca="1">IFERROR(__xludf.DUMMYFUNCTION("""COMPUTED_VALUE"""),4)</f>
        <v>4</v>
      </c>
      <c r="H34" s="5">
        <f ca="1">IFERROR(__xludf.DUMMYFUNCTION("""COMPUTED_VALUE"""),3)</f>
        <v>3</v>
      </c>
      <c r="I34" s="5">
        <f ca="1">IFERROR(__xludf.DUMMYFUNCTION("""COMPUTED_VALUE"""),1)</f>
        <v>1</v>
      </c>
      <c r="J34" s="5">
        <f ca="1">IFERROR(__xludf.DUMMYFUNCTION("""COMPUTED_VALUE"""),2)</f>
        <v>2</v>
      </c>
      <c r="K34" s="5">
        <f ca="1">IFERROR(__xludf.DUMMYFUNCTION("""COMPUTED_VALUE"""),3)</f>
        <v>3</v>
      </c>
      <c r="L34" s="5">
        <f ca="1">IFERROR(__xludf.DUMMYFUNCTION("""COMPUTED_VALUE"""),0)</f>
        <v>0</v>
      </c>
      <c r="M34">
        <f ca="1">IFERROR(__xludf.DUMMYFUNCTION("""COMPUTED_VALUE"""),20)</f>
        <v>20</v>
      </c>
      <c r="N34" s="8" t="str">
        <f ca="1">IFERROR(__xludf.DUMMYFUNCTION("""COMPUTED_VALUE"""),"Д3")</f>
        <v>Д3</v>
      </c>
    </row>
    <row r="35" spans="1:14" ht="12.45" hidden="1">
      <c r="A35" t="str">
        <f ca="1">IFERROR(__xludf.DUMMYFUNCTION("""COMPUTED_VALUE"""),"III-2-147")</f>
        <v>III-2-147</v>
      </c>
      <c r="B35" t="str">
        <f ca="1">IFERROR(__xludf.DUMMYFUNCTION("""COMPUTED_VALUE"""),"Егоров")</f>
        <v>Егоров</v>
      </c>
      <c r="C35" t="str">
        <f ca="1">IFERROR(__xludf.DUMMYFUNCTION("""COMPUTED_VALUE"""),"Иван")</f>
        <v>Иван</v>
      </c>
      <c r="D35" t="str">
        <f ca="1">IFERROR(__xludf.DUMMYFUNCTION("""COMPUTED_VALUE"""),"Школа 509")</f>
        <v>Школа 509</v>
      </c>
      <c r="E35" s="5">
        <f ca="1">IFERROR(__xludf.DUMMYFUNCTION("""COMPUTED_VALUE"""),2)</f>
        <v>2</v>
      </c>
      <c r="F35" s="5">
        <f ca="1">IFERROR(__xludf.DUMMYFUNCTION("""COMPUTED_VALUE"""),4)</f>
        <v>4</v>
      </c>
      <c r="G35" s="5">
        <f ca="1">IFERROR(__xludf.DUMMYFUNCTION("""COMPUTED_VALUE"""),4)</f>
        <v>4</v>
      </c>
      <c r="H35" s="5">
        <f ca="1">IFERROR(__xludf.DUMMYFUNCTION("""COMPUTED_VALUE"""),0)</f>
        <v>0</v>
      </c>
      <c r="I35" s="5">
        <f ca="1">IFERROR(__xludf.DUMMYFUNCTION("""COMPUTED_VALUE"""),5)</f>
        <v>5</v>
      </c>
      <c r="J35" s="5">
        <f ca="1">IFERROR(__xludf.DUMMYFUNCTION("""COMPUTED_VALUE"""),3)</f>
        <v>3</v>
      </c>
      <c r="K35" s="5">
        <f ca="1">IFERROR(__xludf.DUMMYFUNCTION("""COMPUTED_VALUE"""),2)</f>
        <v>2</v>
      </c>
      <c r="L35" s="5">
        <f ca="1">IFERROR(__xludf.DUMMYFUNCTION("""COMPUTED_VALUE"""),0)</f>
        <v>0</v>
      </c>
      <c r="M35">
        <f ca="1">IFERROR(__xludf.DUMMYFUNCTION("""COMPUTED_VALUE"""),20)</f>
        <v>20</v>
      </c>
      <c r="N35" s="8" t="str">
        <f ca="1">IFERROR(__xludf.DUMMYFUNCTION("""COMPUTED_VALUE"""),"Д3")</f>
        <v>Д3</v>
      </c>
    </row>
    <row r="36" spans="1:14" ht="12.45" hidden="1">
      <c r="A36" t="str">
        <f ca="1">IFERROR(__xludf.DUMMYFUNCTION("""COMPUTED_VALUE"""),"V-2-437")</f>
        <v>V-2-437</v>
      </c>
      <c r="B36" t="str">
        <f ca="1">IFERROR(__xludf.DUMMYFUNCTION("""COMPUTED_VALUE"""),"Ушаков")</f>
        <v>Ушаков</v>
      </c>
      <c r="C36" t="str">
        <f ca="1">IFERROR(__xludf.DUMMYFUNCTION("""COMPUTED_VALUE"""),"Севастьян")</f>
        <v>Севастьян</v>
      </c>
      <c r="D36" t="str">
        <f ca="1">IFERROR(__xludf.DUMMYFUNCTION("""COMPUTED_VALUE"""),"Школа 543")</f>
        <v>Школа 543</v>
      </c>
      <c r="E36" s="5">
        <f ca="1">IFERROR(__xludf.DUMMYFUNCTION("""COMPUTED_VALUE"""),3)</f>
        <v>3</v>
      </c>
      <c r="F36" s="5">
        <f ca="1">IFERROR(__xludf.DUMMYFUNCTION("""COMPUTED_VALUE"""),0)</f>
        <v>0</v>
      </c>
      <c r="G36" s="5">
        <f ca="1">IFERROR(__xludf.DUMMYFUNCTION("""COMPUTED_VALUE"""),4)</f>
        <v>4</v>
      </c>
      <c r="H36" s="5">
        <f ca="1">IFERROR(__xludf.DUMMYFUNCTION("""COMPUTED_VALUE"""),6)</f>
        <v>6</v>
      </c>
      <c r="I36" s="5">
        <f ca="1">IFERROR(__xludf.DUMMYFUNCTION("""COMPUTED_VALUE"""),5)</f>
        <v>5</v>
      </c>
      <c r="J36" s="5">
        <f ca="1">IFERROR(__xludf.DUMMYFUNCTION("""COMPUTED_VALUE"""),2)</f>
        <v>2</v>
      </c>
      <c r="K36" s="5">
        <f ca="1">IFERROR(__xludf.DUMMYFUNCTION("""COMPUTED_VALUE"""),0)</f>
        <v>0</v>
      </c>
      <c r="L36" s="5">
        <f ca="1">IFERROR(__xludf.DUMMYFUNCTION("""COMPUTED_VALUE"""),0)</f>
        <v>0</v>
      </c>
      <c r="M36">
        <f ca="1">IFERROR(__xludf.DUMMYFUNCTION("""COMPUTED_VALUE"""),20)</f>
        <v>20</v>
      </c>
      <c r="N36" s="8" t="str">
        <f ca="1">IFERROR(__xludf.DUMMYFUNCTION("""COMPUTED_VALUE"""),"Д3")</f>
        <v>Д3</v>
      </c>
    </row>
    <row r="37" spans="1:14" ht="12.45" hidden="1">
      <c r="A37" t="str">
        <f ca="1">IFERROR(__xludf.DUMMYFUNCTION("""COMPUTED_VALUE"""),"III-2-170")</f>
        <v>III-2-170</v>
      </c>
      <c r="B37" t="str">
        <f ca="1">IFERROR(__xludf.DUMMYFUNCTION("""COMPUTED_VALUE"""),"Зебрев")</f>
        <v>Зебрев</v>
      </c>
      <c r="C37" t="str">
        <f ca="1">IFERROR(__xludf.DUMMYFUNCTION("""COMPUTED_VALUE"""),"Макар")</f>
        <v>Макар</v>
      </c>
      <c r="D37" t="str">
        <f ca="1">IFERROR(__xludf.DUMMYFUNCTION("""COMPUTED_VALUE"""),"Лицей 369 лицей")</f>
        <v>Лицей 369 лицей</v>
      </c>
      <c r="E37" s="5">
        <f ca="1">IFERROR(__xludf.DUMMYFUNCTION("""COMPUTED_VALUE"""),1)</f>
        <v>1</v>
      </c>
      <c r="F37" s="5">
        <f ca="1">IFERROR(__xludf.DUMMYFUNCTION("""COMPUTED_VALUE"""),4)</f>
        <v>4</v>
      </c>
      <c r="G37" s="5">
        <f ca="1">IFERROR(__xludf.DUMMYFUNCTION("""COMPUTED_VALUE"""),4)</f>
        <v>4</v>
      </c>
      <c r="H37" s="5">
        <f ca="1">IFERROR(__xludf.DUMMYFUNCTION("""COMPUTED_VALUE"""),4)</f>
        <v>4</v>
      </c>
      <c r="I37" s="5">
        <f ca="1">IFERROR(__xludf.DUMMYFUNCTION("""COMPUTED_VALUE"""),5)</f>
        <v>5</v>
      </c>
      <c r="J37" s="5">
        <f ca="1">IFERROR(__xludf.DUMMYFUNCTION("""COMPUTED_VALUE"""),2)</f>
        <v>2</v>
      </c>
      <c r="K37" s="5">
        <f ca="1">IFERROR(__xludf.DUMMYFUNCTION("""COMPUTED_VALUE"""),0)</f>
        <v>0</v>
      </c>
      <c r="L37" s="5">
        <f ca="1">IFERROR(__xludf.DUMMYFUNCTION("""COMPUTED_VALUE"""),0)</f>
        <v>0</v>
      </c>
      <c r="M37">
        <f ca="1">IFERROR(__xludf.DUMMYFUNCTION("""COMPUTED_VALUE"""),20)</f>
        <v>20</v>
      </c>
      <c r="N37" s="8" t="str">
        <f ca="1">IFERROR(__xludf.DUMMYFUNCTION("""COMPUTED_VALUE"""),"Д3")</f>
        <v>Д3</v>
      </c>
    </row>
    <row r="38" spans="1:14" ht="12.45" hidden="1">
      <c r="A38" t="str">
        <f ca="1">IFERROR(__xludf.DUMMYFUNCTION("""COMPUTED_VALUE"""),"III-2-135")</f>
        <v>III-2-135</v>
      </c>
      <c r="B38" t="str">
        <f ca="1">IFERROR(__xludf.DUMMYFUNCTION("""COMPUTED_VALUE"""),"Доржиев")</f>
        <v>Доржиев</v>
      </c>
      <c r="C38" t="str">
        <f ca="1">IFERROR(__xludf.DUMMYFUNCTION("""COMPUTED_VALUE"""),"Алдар")</f>
        <v>Алдар</v>
      </c>
      <c r="D38" t="str">
        <f ca="1">IFERROR(__xludf.DUMMYFUNCTION("""COMPUTED_VALUE"""),"Школа 1")</f>
        <v>Школа 1</v>
      </c>
      <c r="E38" s="5">
        <f ca="1">IFERROR(__xludf.DUMMYFUNCTION("""COMPUTED_VALUE"""),1)</f>
        <v>1</v>
      </c>
      <c r="F38" s="5">
        <f ca="1">IFERROR(__xludf.DUMMYFUNCTION("""COMPUTED_VALUE"""),4)</f>
        <v>4</v>
      </c>
      <c r="G38" s="5">
        <f ca="1">IFERROR(__xludf.DUMMYFUNCTION("""COMPUTED_VALUE"""),4)</f>
        <v>4</v>
      </c>
      <c r="H38" s="5">
        <f ca="1">IFERROR(__xludf.DUMMYFUNCTION("""COMPUTED_VALUE"""),6)</f>
        <v>6</v>
      </c>
      <c r="I38" s="5">
        <f ca="1">IFERROR(__xludf.DUMMYFUNCTION("""COMPUTED_VALUE"""),5)</f>
        <v>5</v>
      </c>
      <c r="J38" s="5">
        <f ca="1">IFERROR(__xludf.DUMMYFUNCTION("""COMPUTED_VALUE"""),0)</f>
        <v>0</v>
      </c>
      <c r="K38" s="5">
        <f ca="1">IFERROR(__xludf.DUMMYFUNCTION("""COMPUTED_VALUE"""),0)</f>
        <v>0</v>
      </c>
      <c r="L38" s="5">
        <f ca="1">IFERROR(__xludf.DUMMYFUNCTION("""COMPUTED_VALUE"""),0)</f>
        <v>0</v>
      </c>
      <c r="M38">
        <f ca="1">IFERROR(__xludf.DUMMYFUNCTION("""COMPUTED_VALUE"""),20)</f>
        <v>20</v>
      </c>
      <c r="N38" s="8" t="str">
        <f ca="1">IFERROR(__xludf.DUMMYFUNCTION("""COMPUTED_VALUE"""),"Д3")</f>
        <v>Д3</v>
      </c>
    </row>
    <row r="39" spans="1:14" ht="12.45" hidden="1">
      <c r="A39" t="str">
        <f ca="1">IFERROR(__xludf.DUMMYFUNCTION("""COMPUTED_VALUE"""),"III-2-121")</f>
        <v>III-2-121</v>
      </c>
      <c r="B39" t="str">
        <f ca="1">IFERROR(__xludf.DUMMYFUNCTION("""COMPUTED_VALUE"""),"Гулев")</f>
        <v>Гулев</v>
      </c>
      <c r="C39" t="str">
        <f ca="1">IFERROR(__xludf.DUMMYFUNCTION("""COMPUTED_VALUE"""),"Максим")</f>
        <v>Максим</v>
      </c>
      <c r="D39" t="str">
        <f ca="1">IFERROR(__xludf.DUMMYFUNCTION("""COMPUTED_VALUE"""),"Школа 617")</f>
        <v>Школа 617</v>
      </c>
      <c r="E39" s="5">
        <f ca="1">IFERROR(__xludf.DUMMYFUNCTION("""COMPUTED_VALUE"""),3)</f>
        <v>3</v>
      </c>
      <c r="F39" s="5">
        <f ca="1">IFERROR(__xludf.DUMMYFUNCTION("""COMPUTED_VALUE"""),4)</f>
        <v>4</v>
      </c>
      <c r="G39" s="5">
        <f ca="1">IFERROR(__xludf.DUMMYFUNCTION("""COMPUTED_VALUE"""),4)</f>
        <v>4</v>
      </c>
      <c r="H39" s="5">
        <f ca="1">IFERROR(__xludf.DUMMYFUNCTION("""COMPUTED_VALUE"""),4)</f>
        <v>4</v>
      </c>
      <c r="I39" s="5">
        <f ca="1">IFERROR(__xludf.DUMMYFUNCTION("""COMPUTED_VALUE"""),5)</f>
        <v>5</v>
      </c>
      <c r="J39" s="5">
        <f ca="1">IFERROR(__xludf.DUMMYFUNCTION("""COMPUTED_VALUE"""),0)</f>
        <v>0</v>
      </c>
      <c r="K39" s="5">
        <f ca="1">IFERROR(__xludf.DUMMYFUNCTION("""COMPUTED_VALUE"""),0)</f>
        <v>0</v>
      </c>
      <c r="L39" s="5">
        <f ca="1">IFERROR(__xludf.DUMMYFUNCTION("""COMPUTED_VALUE"""),0)</f>
        <v>0</v>
      </c>
      <c r="M39">
        <f ca="1">IFERROR(__xludf.DUMMYFUNCTION("""COMPUTED_VALUE"""),20)</f>
        <v>20</v>
      </c>
      <c r="N39" s="8" t="str">
        <f ca="1">IFERROR(__xludf.DUMMYFUNCTION("""COMPUTED_VALUE"""),"Д3")</f>
        <v>Д3</v>
      </c>
    </row>
    <row r="40" spans="1:14" ht="12.45" hidden="1">
      <c r="A40" t="str">
        <f ca="1">IFERROR(__xludf.DUMMYFUNCTION("""COMPUTED_VALUE"""),"V-2-277")</f>
        <v>V-2-277</v>
      </c>
      <c r="B40" t="str">
        <f ca="1">IFERROR(__xludf.DUMMYFUNCTION("""COMPUTED_VALUE"""),"Марута")</f>
        <v>Марута</v>
      </c>
      <c r="C40" t="str">
        <f ca="1">IFERROR(__xludf.DUMMYFUNCTION("""COMPUTED_VALUE"""),"Жанна")</f>
        <v>Жанна</v>
      </c>
      <c r="D40" t="str">
        <f ca="1">IFERROR(__xludf.DUMMYFUNCTION("""COMPUTED_VALUE"""),"Лицей 101")</f>
        <v>Лицей 101</v>
      </c>
      <c r="E40" s="5">
        <f ca="1">IFERROR(__xludf.DUMMYFUNCTION("""COMPUTED_VALUE"""),3)</f>
        <v>3</v>
      </c>
      <c r="F40" s="5">
        <f ca="1">IFERROR(__xludf.DUMMYFUNCTION("""COMPUTED_VALUE"""),4)</f>
        <v>4</v>
      </c>
      <c r="G40" s="5">
        <f ca="1">IFERROR(__xludf.DUMMYFUNCTION("""COMPUTED_VALUE"""),4)</f>
        <v>4</v>
      </c>
      <c r="H40" s="5">
        <f ca="1">IFERROR(__xludf.DUMMYFUNCTION("""COMPUTED_VALUE"""),4)</f>
        <v>4</v>
      </c>
      <c r="I40" s="5">
        <f ca="1">IFERROR(__xludf.DUMMYFUNCTION("""COMPUTED_VALUE"""),0)</f>
        <v>0</v>
      </c>
      <c r="J40" s="5">
        <f ca="1">IFERROR(__xludf.DUMMYFUNCTION("""COMPUTED_VALUE"""),5)</f>
        <v>5</v>
      </c>
      <c r="K40" s="5">
        <f ca="1">IFERROR(__xludf.DUMMYFUNCTION("""COMPUTED_VALUE"""),0)</f>
        <v>0</v>
      </c>
      <c r="L40" s="5">
        <f ca="1">IFERROR(__xludf.DUMMYFUNCTION("""COMPUTED_VALUE"""),0)</f>
        <v>0</v>
      </c>
      <c r="M40">
        <f ca="1">IFERROR(__xludf.DUMMYFUNCTION("""COMPUTED_VALUE"""),20)</f>
        <v>20</v>
      </c>
      <c r="N40" s="8" t="str">
        <f ca="1">IFERROR(__xludf.DUMMYFUNCTION("""COMPUTED_VALUE"""),"Д3")</f>
        <v>Д3</v>
      </c>
    </row>
    <row r="41" spans="1:14" ht="12.45" hidden="1">
      <c r="A41" t="str">
        <f ca="1">IFERROR(__xludf.DUMMYFUNCTION("""COMPUTED_VALUE"""),"III-2-087")</f>
        <v>III-2-087</v>
      </c>
      <c r="B41" t="str">
        <f ca="1">IFERROR(__xludf.DUMMYFUNCTION("""COMPUTED_VALUE"""),"Гаврилов")</f>
        <v>Гаврилов</v>
      </c>
      <c r="C41" t="str">
        <f ca="1">IFERROR(__xludf.DUMMYFUNCTION("""COMPUTED_VALUE"""),"Марк")</f>
        <v>Марк</v>
      </c>
      <c r="D41" t="str">
        <f ca="1">IFERROR(__xludf.DUMMYFUNCTION("""COMPUTED_VALUE"""),"Гимназия 171")</f>
        <v>Гимназия 171</v>
      </c>
      <c r="E41" s="5">
        <f ca="1">IFERROR(__xludf.DUMMYFUNCTION("""COMPUTED_VALUE"""),0)</f>
        <v>0</v>
      </c>
      <c r="F41" s="5">
        <f ca="1">IFERROR(__xludf.DUMMYFUNCTION("""COMPUTED_VALUE"""),4)</f>
        <v>4</v>
      </c>
      <c r="G41" s="5">
        <f ca="1">IFERROR(__xludf.DUMMYFUNCTION("""COMPUTED_VALUE"""),4)</f>
        <v>4</v>
      </c>
      <c r="H41" s="5">
        <f ca="1">IFERROR(__xludf.DUMMYFUNCTION("""COMPUTED_VALUE"""),0)</f>
        <v>0</v>
      </c>
      <c r="I41" s="5">
        <f ca="1">IFERROR(__xludf.DUMMYFUNCTION("""COMPUTED_VALUE"""),5)</f>
        <v>5</v>
      </c>
      <c r="J41" s="5">
        <f ca="1">IFERROR(__xludf.DUMMYFUNCTION("""COMPUTED_VALUE"""),0)</f>
        <v>0</v>
      </c>
      <c r="K41" s="5">
        <f ca="1">IFERROR(__xludf.DUMMYFUNCTION("""COMPUTED_VALUE"""),0)</f>
        <v>0</v>
      </c>
      <c r="L41" s="5">
        <f ca="1">IFERROR(__xludf.DUMMYFUNCTION("""COMPUTED_VALUE"""),6)</f>
        <v>6</v>
      </c>
      <c r="M41">
        <f ca="1">IFERROR(__xludf.DUMMYFUNCTION("""COMPUTED_VALUE"""),19)</f>
        <v>19</v>
      </c>
      <c r="N41" s="8" t="str">
        <f ca="1">IFERROR(__xludf.DUMMYFUNCTION("""COMPUTED_VALUE"""),"ПО1")</f>
        <v>ПО1</v>
      </c>
    </row>
    <row r="42" spans="1:14" ht="12.45" hidden="1">
      <c r="A42" t="str">
        <f ca="1">IFERROR(__xludf.DUMMYFUNCTION("""COMPUTED_VALUE"""),"V-2-398")</f>
        <v>V-2-398</v>
      </c>
      <c r="B42" t="str">
        <f ca="1">IFERROR(__xludf.DUMMYFUNCTION("""COMPUTED_VALUE"""),"Смирнов")</f>
        <v>Смирнов</v>
      </c>
      <c r="C42" t="str">
        <f ca="1">IFERROR(__xludf.DUMMYFUNCTION("""COMPUTED_VALUE"""),"Михаил")</f>
        <v>Михаил</v>
      </c>
      <c r="D42" t="str">
        <f ca="1">IFERROR(__xludf.DUMMYFUNCTION("""COMPUTED_VALUE"""),"Гимназия 642 Земля и Вселенная")</f>
        <v>Гимназия 642 Земля и Вселенная</v>
      </c>
      <c r="E42" s="5">
        <f ca="1">IFERROR(__xludf.DUMMYFUNCTION("""COMPUTED_VALUE"""),1)</f>
        <v>1</v>
      </c>
      <c r="F42" s="5">
        <f ca="1">IFERROR(__xludf.DUMMYFUNCTION("""COMPUTED_VALUE"""),4)</f>
        <v>4</v>
      </c>
      <c r="G42" s="5">
        <f ca="1">IFERROR(__xludf.DUMMYFUNCTION("""COMPUTED_VALUE"""),0)</f>
        <v>0</v>
      </c>
      <c r="H42" s="5">
        <f ca="1">IFERROR(__xludf.DUMMYFUNCTION("""COMPUTED_VALUE"""),3)</f>
        <v>3</v>
      </c>
      <c r="I42" s="5">
        <f ca="1">IFERROR(__xludf.DUMMYFUNCTION("""COMPUTED_VALUE"""),5)</f>
        <v>5</v>
      </c>
      <c r="J42" s="5">
        <f ca="1">IFERROR(__xludf.DUMMYFUNCTION("""COMPUTED_VALUE"""),3)</f>
        <v>3</v>
      </c>
      <c r="K42" s="5">
        <f ca="1">IFERROR(__xludf.DUMMYFUNCTION("""COMPUTED_VALUE"""),3)</f>
        <v>3</v>
      </c>
      <c r="L42" s="5">
        <f ca="1">IFERROR(__xludf.DUMMYFUNCTION("""COMPUTED_VALUE"""),0)</f>
        <v>0</v>
      </c>
      <c r="M42">
        <f ca="1">IFERROR(__xludf.DUMMYFUNCTION("""COMPUTED_VALUE"""),19)</f>
        <v>19</v>
      </c>
      <c r="N42" s="8" t="str">
        <f ca="1">IFERROR(__xludf.DUMMYFUNCTION("""COMPUTED_VALUE"""),"ПО1")</f>
        <v>ПО1</v>
      </c>
    </row>
    <row r="43" spans="1:14" ht="12.45" hidden="1">
      <c r="A43" t="str">
        <f ca="1">IFERROR(__xludf.DUMMYFUNCTION("""COMPUTED_VALUE"""),"III-2-234")</f>
        <v>III-2-234</v>
      </c>
      <c r="B43" t="str">
        <f ca="1">IFERROR(__xludf.DUMMYFUNCTION("""COMPUTED_VALUE"""),"Кузьминов")</f>
        <v>Кузьминов</v>
      </c>
      <c r="C43" t="str">
        <f ca="1">IFERROR(__xludf.DUMMYFUNCTION("""COMPUTED_VALUE"""),"Всеволод")</f>
        <v>Всеволод</v>
      </c>
      <c r="D43" t="str">
        <f ca="1">IFERROR(__xludf.DUMMYFUNCTION("""COMPUTED_VALUE"""),"Гимназия 642 ""Земля и Вселенная""")</f>
        <v>Гимназия 642 "Земля и Вселенная"</v>
      </c>
      <c r="E43" s="5">
        <f ca="1">IFERROR(__xludf.DUMMYFUNCTION("""COMPUTED_VALUE"""),3)</f>
        <v>3</v>
      </c>
      <c r="F43" s="5">
        <f ca="1">IFERROR(__xludf.DUMMYFUNCTION("""COMPUTED_VALUE"""),4)</f>
        <v>4</v>
      </c>
      <c r="G43" s="5">
        <f ca="1">IFERROR(__xludf.DUMMYFUNCTION("""COMPUTED_VALUE"""),4)</f>
        <v>4</v>
      </c>
      <c r="H43" s="5">
        <f ca="1">IFERROR(__xludf.DUMMYFUNCTION("""COMPUTED_VALUE"""),3)</f>
        <v>3</v>
      </c>
      <c r="I43" s="5">
        <f ca="1">IFERROR(__xludf.DUMMYFUNCTION("""COMPUTED_VALUE"""),0)</f>
        <v>0</v>
      </c>
      <c r="J43" s="5">
        <f ca="1">IFERROR(__xludf.DUMMYFUNCTION("""COMPUTED_VALUE"""),2)</f>
        <v>2</v>
      </c>
      <c r="K43" s="5">
        <f ca="1">IFERROR(__xludf.DUMMYFUNCTION("""COMPUTED_VALUE"""),3)</f>
        <v>3</v>
      </c>
      <c r="L43" s="5">
        <f ca="1">IFERROR(__xludf.DUMMYFUNCTION("""COMPUTED_VALUE"""),0)</f>
        <v>0</v>
      </c>
      <c r="M43">
        <f ca="1">IFERROR(__xludf.DUMMYFUNCTION("""COMPUTED_VALUE"""),19)</f>
        <v>19</v>
      </c>
      <c r="N43" s="8" t="str">
        <f ca="1">IFERROR(__xludf.DUMMYFUNCTION("""COMPUTED_VALUE"""),"ПО1")</f>
        <v>ПО1</v>
      </c>
    </row>
    <row r="44" spans="1:14" ht="12.45" hidden="1">
      <c r="A44" t="str">
        <f ca="1">IFERROR(__xludf.DUMMYFUNCTION("""COMPUTED_VALUE"""),"III-2-007")</f>
        <v>III-2-007</v>
      </c>
      <c r="B44" t="str">
        <f ca="1">IFERROR(__xludf.DUMMYFUNCTION("""COMPUTED_VALUE"""),"Александров")</f>
        <v>Александров</v>
      </c>
      <c r="C44" t="str">
        <f ca="1">IFERROR(__xludf.DUMMYFUNCTION("""COMPUTED_VALUE"""),"Глеб")</f>
        <v>Глеб</v>
      </c>
      <c r="D44" t="str">
        <f ca="1">IFERROR(__xludf.DUMMYFUNCTION("""COMPUTED_VALUE"""),"Гимназия 24")</f>
        <v>Гимназия 24</v>
      </c>
      <c r="E44" s="5">
        <f ca="1">IFERROR(__xludf.DUMMYFUNCTION("""COMPUTED_VALUE"""),1)</f>
        <v>1</v>
      </c>
      <c r="F44" s="5">
        <f ca="1">IFERROR(__xludf.DUMMYFUNCTION("""COMPUTED_VALUE"""),4)</f>
        <v>4</v>
      </c>
      <c r="G44" s="5">
        <f ca="1">IFERROR(__xludf.DUMMYFUNCTION("""COMPUTED_VALUE"""),4)</f>
        <v>4</v>
      </c>
      <c r="H44" s="5">
        <f ca="1">IFERROR(__xludf.DUMMYFUNCTION("""COMPUTED_VALUE"""),3)</f>
        <v>3</v>
      </c>
      <c r="I44" s="5">
        <f ca="1">IFERROR(__xludf.DUMMYFUNCTION("""COMPUTED_VALUE"""),3)</f>
        <v>3</v>
      </c>
      <c r="J44" s="5">
        <f ca="1">IFERROR(__xludf.DUMMYFUNCTION("""COMPUTED_VALUE"""),3)</f>
        <v>3</v>
      </c>
      <c r="K44" s="5">
        <f ca="1">IFERROR(__xludf.DUMMYFUNCTION("""COMPUTED_VALUE"""),1)</f>
        <v>1</v>
      </c>
      <c r="L44" s="5">
        <f ca="1">IFERROR(__xludf.DUMMYFUNCTION("""COMPUTED_VALUE"""),0)</f>
        <v>0</v>
      </c>
      <c r="M44">
        <f ca="1">IFERROR(__xludf.DUMMYFUNCTION("""COMPUTED_VALUE"""),19)</f>
        <v>19</v>
      </c>
      <c r="N44" s="8" t="str">
        <f ca="1">IFERROR(__xludf.DUMMYFUNCTION("""COMPUTED_VALUE"""),"ПО1")</f>
        <v>ПО1</v>
      </c>
    </row>
    <row r="45" spans="1:14" ht="12.45" hidden="1">
      <c r="A45" t="str">
        <f ca="1">IFERROR(__xludf.DUMMYFUNCTION("""COMPUTED_VALUE"""),"V-2-478")</f>
        <v>V-2-478</v>
      </c>
      <c r="B45" t="str">
        <f ca="1">IFERROR(__xludf.DUMMYFUNCTION("""COMPUTED_VALUE"""),"Яковлева")</f>
        <v>Яковлева</v>
      </c>
      <c r="C45" t="str">
        <f ca="1">IFERROR(__xludf.DUMMYFUNCTION("""COMPUTED_VALUE"""),"Александра")</f>
        <v>Александра</v>
      </c>
      <c r="D45" t="str">
        <f ca="1">IFERROR(__xludf.DUMMYFUNCTION("""COMPUTED_VALUE"""),"Лицей 344")</f>
        <v>Лицей 344</v>
      </c>
      <c r="E45" s="5">
        <f ca="1">IFERROR(__xludf.DUMMYFUNCTION("""COMPUTED_VALUE"""),3)</f>
        <v>3</v>
      </c>
      <c r="F45" s="5">
        <f ca="1">IFERROR(__xludf.DUMMYFUNCTION("""COMPUTED_VALUE"""),4)</f>
        <v>4</v>
      </c>
      <c r="G45" s="5">
        <f ca="1">IFERROR(__xludf.DUMMYFUNCTION("""COMPUTED_VALUE"""),4)</f>
        <v>4</v>
      </c>
      <c r="H45" s="5">
        <f ca="1">IFERROR(__xludf.DUMMYFUNCTION("""COMPUTED_VALUE"""),0)</f>
        <v>0</v>
      </c>
      <c r="I45" s="5">
        <f ca="1">IFERROR(__xludf.DUMMYFUNCTION("""COMPUTED_VALUE"""),5)</f>
        <v>5</v>
      </c>
      <c r="J45" s="5">
        <f ca="1">IFERROR(__xludf.DUMMYFUNCTION("""COMPUTED_VALUE"""),2)</f>
        <v>2</v>
      </c>
      <c r="K45" s="5">
        <f ca="1">IFERROR(__xludf.DUMMYFUNCTION("""COMPUTED_VALUE"""),1)</f>
        <v>1</v>
      </c>
      <c r="L45" s="5">
        <f ca="1">IFERROR(__xludf.DUMMYFUNCTION("""COMPUTED_VALUE"""),0)</f>
        <v>0</v>
      </c>
      <c r="M45">
        <f ca="1">IFERROR(__xludf.DUMMYFUNCTION("""COMPUTED_VALUE"""),19)</f>
        <v>19</v>
      </c>
      <c r="N45" s="8" t="str">
        <f ca="1">IFERROR(__xludf.DUMMYFUNCTION("""COMPUTED_VALUE"""),"ПО1")</f>
        <v>ПО1</v>
      </c>
    </row>
    <row r="46" spans="1:14" ht="12.45" hidden="1">
      <c r="A46" t="str">
        <f ca="1">IFERROR(__xludf.DUMMYFUNCTION("""COMPUTED_VALUE"""),"III-2-182")</f>
        <v>III-2-182</v>
      </c>
      <c r="B46" t="str">
        <f ca="1">IFERROR(__xludf.DUMMYFUNCTION("""COMPUTED_VALUE"""),"Исмагилов")</f>
        <v>Исмагилов</v>
      </c>
      <c r="C46" t="str">
        <f ca="1">IFERROR(__xludf.DUMMYFUNCTION("""COMPUTED_VALUE"""),"Ильдар")</f>
        <v>Ильдар</v>
      </c>
      <c r="D46" t="str">
        <f ca="1">IFERROR(__xludf.DUMMYFUNCTION("""COMPUTED_VALUE"""),"Школа 46")</f>
        <v>Школа 46</v>
      </c>
      <c r="E46" s="5">
        <f ca="1">IFERROR(__xludf.DUMMYFUNCTION("""COMPUTED_VALUE"""),3)</f>
        <v>3</v>
      </c>
      <c r="F46" s="5">
        <f ca="1">IFERROR(__xludf.DUMMYFUNCTION("""COMPUTED_VALUE"""),4)</f>
        <v>4</v>
      </c>
      <c r="G46" s="5">
        <f ca="1">IFERROR(__xludf.DUMMYFUNCTION("""COMPUTED_VALUE"""),4)</f>
        <v>4</v>
      </c>
      <c r="H46" s="5">
        <f ca="1">IFERROR(__xludf.DUMMYFUNCTION("""COMPUTED_VALUE"""),0)</f>
        <v>0</v>
      </c>
      <c r="I46" s="5">
        <f ca="1">IFERROR(__xludf.DUMMYFUNCTION("""COMPUTED_VALUE"""),5)</f>
        <v>5</v>
      </c>
      <c r="J46" s="5">
        <f ca="1">IFERROR(__xludf.DUMMYFUNCTION("""COMPUTED_VALUE"""),3)</f>
        <v>3</v>
      </c>
      <c r="K46" s="5">
        <f ca="1">IFERROR(__xludf.DUMMYFUNCTION("""COMPUTED_VALUE"""),0)</f>
        <v>0</v>
      </c>
      <c r="L46" s="5">
        <f ca="1">IFERROR(__xludf.DUMMYFUNCTION("""COMPUTED_VALUE"""),0)</f>
        <v>0</v>
      </c>
      <c r="M46">
        <f ca="1">IFERROR(__xludf.DUMMYFUNCTION("""COMPUTED_VALUE"""),19)</f>
        <v>19</v>
      </c>
      <c r="N46" s="8" t="str">
        <f ca="1">IFERROR(__xludf.DUMMYFUNCTION("""COMPUTED_VALUE"""),"ПО1")</f>
        <v>ПО1</v>
      </c>
    </row>
    <row r="47" spans="1:14" ht="12.45" hidden="1">
      <c r="A47" t="str">
        <f ca="1">IFERROR(__xludf.DUMMYFUNCTION("""COMPUTED_VALUE"""),"III-2-070")</f>
        <v>III-2-070</v>
      </c>
      <c r="B47" t="str">
        <f ca="1">IFERROR(__xludf.DUMMYFUNCTION("""COMPUTED_VALUE"""),"Варламова")</f>
        <v>Варламова</v>
      </c>
      <c r="C47" t="str">
        <f ca="1">IFERROR(__xludf.DUMMYFUNCTION("""COMPUTED_VALUE"""),"Полина")</f>
        <v>Полина</v>
      </c>
      <c r="D47" t="str">
        <f ca="1">IFERROR(__xludf.DUMMYFUNCTION("""COMPUTED_VALUE"""),"Гимназия 524")</f>
        <v>Гимназия 524</v>
      </c>
      <c r="E47" s="5">
        <f ca="1">IFERROR(__xludf.DUMMYFUNCTION("""COMPUTED_VALUE"""),3)</f>
        <v>3</v>
      </c>
      <c r="F47" s="5">
        <f ca="1">IFERROR(__xludf.DUMMYFUNCTION("""COMPUTED_VALUE"""),0)</f>
        <v>0</v>
      </c>
      <c r="G47" s="5">
        <f ca="1">IFERROR(__xludf.DUMMYFUNCTION("""COMPUTED_VALUE"""),4)</f>
        <v>4</v>
      </c>
      <c r="H47" s="5">
        <f ca="1">IFERROR(__xludf.DUMMYFUNCTION("""COMPUTED_VALUE"""),6)</f>
        <v>6</v>
      </c>
      <c r="I47" s="5">
        <f ca="1">IFERROR(__xludf.DUMMYFUNCTION("""COMPUTED_VALUE"""),3)</f>
        <v>3</v>
      </c>
      <c r="J47" s="5">
        <f ca="1">IFERROR(__xludf.DUMMYFUNCTION("""COMPUTED_VALUE"""),3)</f>
        <v>3</v>
      </c>
      <c r="K47" s="5">
        <f ca="1">IFERROR(__xludf.DUMMYFUNCTION("""COMPUTED_VALUE"""),0)</f>
        <v>0</v>
      </c>
      <c r="L47" s="5">
        <f ca="1">IFERROR(__xludf.DUMMYFUNCTION("""COMPUTED_VALUE"""),0)</f>
        <v>0</v>
      </c>
      <c r="M47">
        <f ca="1">IFERROR(__xludf.DUMMYFUNCTION("""COMPUTED_VALUE"""),19)</f>
        <v>19</v>
      </c>
      <c r="N47" s="8" t="str">
        <f ca="1">IFERROR(__xludf.DUMMYFUNCTION("""COMPUTED_VALUE"""),"ПО1")</f>
        <v>ПО1</v>
      </c>
    </row>
    <row r="48" spans="1:14" ht="12.45" hidden="1">
      <c r="A48" t="str">
        <f ca="1">IFERROR(__xludf.DUMMYFUNCTION("""COMPUTED_VALUE"""),"V-2-282")</f>
        <v>V-2-282</v>
      </c>
      <c r="B48" t="str">
        <f ca="1">IFERROR(__xludf.DUMMYFUNCTION("""COMPUTED_VALUE"""),"Медведев")</f>
        <v>Медведев</v>
      </c>
      <c r="C48" t="str">
        <f ca="1">IFERROR(__xludf.DUMMYFUNCTION("""COMPUTED_VALUE"""),"Семен")</f>
        <v>Семен</v>
      </c>
      <c r="D48" t="str">
        <f ca="1">IFERROR(__xludf.DUMMYFUNCTION("""COMPUTED_VALUE"""),"Гимназия 526")</f>
        <v>Гимназия 526</v>
      </c>
      <c r="E48" s="5">
        <f ca="1">IFERROR(__xludf.DUMMYFUNCTION("""COMPUTED_VALUE"""),2)</f>
        <v>2</v>
      </c>
      <c r="F48" s="5">
        <f ca="1">IFERROR(__xludf.DUMMYFUNCTION("""COMPUTED_VALUE"""),4)</f>
        <v>4</v>
      </c>
      <c r="G48" s="5">
        <f ca="1">IFERROR(__xludf.DUMMYFUNCTION("""COMPUTED_VALUE"""),4)</f>
        <v>4</v>
      </c>
      <c r="H48" s="5">
        <f ca="1">IFERROR(__xludf.DUMMYFUNCTION("""COMPUTED_VALUE"""),2)</f>
        <v>2</v>
      </c>
      <c r="I48" s="5">
        <f ca="1">IFERROR(__xludf.DUMMYFUNCTION("""COMPUTED_VALUE"""),5)</f>
        <v>5</v>
      </c>
      <c r="J48" s="5">
        <f ca="1">IFERROR(__xludf.DUMMYFUNCTION("""COMPUTED_VALUE"""),2)</f>
        <v>2</v>
      </c>
      <c r="K48" s="5">
        <f ca="1">IFERROR(__xludf.DUMMYFUNCTION("""COMPUTED_VALUE"""),0)</f>
        <v>0</v>
      </c>
      <c r="L48" s="5">
        <f ca="1">IFERROR(__xludf.DUMMYFUNCTION("""COMPUTED_VALUE"""),0)</f>
        <v>0</v>
      </c>
      <c r="M48">
        <f ca="1">IFERROR(__xludf.DUMMYFUNCTION("""COMPUTED_VALUE"""),19)</f>
        <v>19</v>
      </c>
      <c r="N48" s="8" t="str">
        <f ca="1">IFERROR(__xludf.DUMMYFUNCTION("""COMPUTED_VALUE"""),"ПО1")</f>
        <v>ПО1</v>
      </c>
    </row>
    <row r="49" spans="1:14" ht="12.45" hidden="1">
      <c r="A49" t="str">
        <f ca="1">IFERROR(__xludf.DUMMYFUNCTION("""COMPUTED_VALUE"""),"III-2-065")</f>
        <v>III-2-065</v>
      </c>
      <c r="B49" t="str">
        <f ca="1">IFERROR(__xludf.DUMMYFUNCTION("""COMPUTED_VALUE"""),"Булаева")</f>
        <v>Булаева</v>
      </c>
      <c r="C49" t="str">
        <f ca="1">IFERROR(__xludf.DUMMYFUNCTION("""COMPUTED_VALUE"""),"Валерия")</f>
        <v>Валерия</v>
      </c>
      <c r="D49" t="str">
        <f ca="1">IFERROR(__xludf.DUMMYFUNCTION("""COMPUTED_VALUE"""),"Школа 639")</f>
        <v>Школа 639</v>
      </c>
      <c r="E49" s="5">
        <f ca="1">IFERROR(__xludf.DUMMYFUNCTION("""COMPUTED_VALUE"""),3)</f>
        <v>3</v>
      </c>
      <c r="F49" s="5">
        <f ca="1">IFERROR(__xludf.DUMMYFUNCTION("""COMPUTED_VALUE"""),4)</f>
        <v>4</v>
      </c>
      <c r="G49" s="5">
        <f ca="1">IFERROR(__xludf.DUMMYFUNCTION("""COMPUTED_VALUE"""),4)</f>
        <v>4</v>
      </c>
      <c r="H49" s="5">
        <f ca="1">IFERROR(__xludf.DUMMYFUNCTION("""COMPUTED_VALUE"""),3)</f>
        <v>3</v>
      </c>
      <c r="I49" s="5">
        <f ca="1">IFERROR(__xludf.DUMMYFUNCTION("""COMPUTED_VALUE"""),5)</f>
        <v>5</v>
      </c>
      <c r="J49" s="5">
        <f ca="1">IFERROR(__xludf.DUMMYFUNCTION("""COMPUTED_VALUE"""),0)</f>
        <v>0</v>
      </c>
      <c r="K49" s="5">
        <f ca="1">IFERROR(__xludf.DUMMYFUNCTION("""COMPUTED_VALUE"""),0)</f>
        <v>0</v>
      </c>
      <c r="L49" s="5">
        <f ca="1">IFERROR(__xludf.DUMMYFUNCTION("""COMPUTED_VALUE"""),0)</f>
        <v>0</v>
      </c>
      <c r="M49">
        <f ca="1">IFERROR(__xludf.DUMMYFUNCTION("""COMPUTED_VALUE"""),19)</f>
        <v>19</v>
      </c>
      <c r="N49" s="8" t="str">
        <f ca="1">IFERROR(__xludf.DUMMYFUNCTION("""COMPUTED_VALUE"""),"ПО1")</f>
        <v>ПО1</v>
      </c>
    </row>
    <row r="50" spans="1:14" ht="12.45" hidden="1">
      <c r="A50" t="str">
        <f ca="1">IFERROR(__xludf.DUMMYFUNCTION("""COMPUTED_VALUE"""),"V-2-378")</f>
        <v>V-2-378</v>
      </c>
      <c r="B50" t="str">
        <f ca="1">IFERROR(__xludf.DUMMYFUNCTION("""COMPUTED_VALUE"""),"Семенова")</f>
        <v>Семенова</v>
      </c>
      <c r="C50" t="str">
        <f ca="1">IFERROR(__xludf.DUMMYFUNCTION("""COMPUTED_VALUE"""),"Варвара")</f>
        <v>Варвара</v>
      </c>
      <c r="D50" t="str">
        <f ca="1">IFERROR(__xludf.DUMMYFUNCTION("""COMPUTED_VALUE"""),"Гимназия Гимназия 642 Земля и Вселенная")</f>
        <v>Гимназия Гимназия 642 Земля и Вселенная</v>
      </c>
      <c r="E50" s="5">
        <f ca="1">IFERROR(__xludf.DUMMYFUNCTION("""COMPUTED_VALUE"""),1)</f>
        <v>1</v>
      </c>
      <c r="F50" s="5">
        <f ca="1">IFERROR(__xludf.DUMMYFUNCTION("""COMPUTED_VALUE"""),4)</f>
        <v>4</v>
      </c>
      <c r="G50" s="5">
        <f ca="1">IFERROR(__xludf.DUMMYFUNCTION("""COMPUTED_VALUE"""),4)</f>
        <v>4</v>
      </c>
      <c r="H50" s="5">
        <f ca="1">IFERROR(__xludf.DUMMYFUNCTION("""COMPUTED_VALUE"""),0)</f>
        <v>0</v>
      </c>
      <c r="I50" s="5">
        <f ca="1">IFERROR(__xludf.DUMMYFUNCTION("""COMPUTED_VALUE"""),5)</f>
        <v>5</v>
      </c>
      <c r="J50" s="5">
        <f ca="1">IFERROR(__xludf.DUMMYFUNCTION("""COMPUTED_VALUE"""),3)</f>
        <v>3</v>
      </c>
      <c r="K50" s="5">
        <f ca="1">IFERROR(__xludf.DUMMYFUNCTION("""COMPUTED_VALUE"""),1)</f>
        <v>1</v>
      </c>
      <c r="L50" s="5">
        <f ca="1">IFERROR(__xludf.DUMMYFUNCTION("""COMPUTED_VALUE"""),0)</f>
        <v>0</v>
      </c>
      <c r="M50">
        <f ca="1">IFERROR(__xludf.DUMMYFUNCTION("""COMPUTED_VALUE"""),18)</f>
        <v>18</v>
      </c>
      <c r="N50" s="8" t="str">
        <f ca="1">IFERROR(__xludf.DUMMYFUNCTION("""COMPUTED_VALUE"""),"ПО1")</f>
        <v>ПО1</v>
      </c>
    </row>
    <row r="51" spans="1:14" ht="12.45" hidden="1">
      <c r="A51" t="str">
        <f ca="1">IFERROR(__xludf.DUMMYFUNCTION("""COMPUTED_VALUE"""),"III-2-064")</f>
        <v>III-2-064</v>
      </c>
      <c r="B51" t="str">
        <f ca="1">IFERROR(__xludf.DUMMYFUNCTION("""COMPUTED_VALUE"""),"Булаева")</f>
        <v>Булаева</v>
      </c>
      <c r="C51" t="str">
        <f ca="1">IFERROR(__xludf.DUMMYFUNCTION("""COMPUTED_VALUE"""),"Влада")</f>
        <v>Влада</v>
      </c>
      <c r="D51" t="str">
        <f ca="1">IFERROR(__xludf.DUMMYFUNCTION("""COMPUTED_VALUE"""),"Школа 639")</f>
        <v>Школа 639</v>
      </c>
      <c r="E51" s="5">
        <f ca="1">IFERROR(__xludf.DUMMYFUNCTION("""COMPUTED_VALUE"""),2)</f>
        <v>2</v>
      </c>
      <c r="F51" s="5">
        <f ca="1">IFERROR(__xludf.DUMMYFUNCTION("""COMPUTED_VALUE"""),4)</f>
        <v>4</v>
      </c>
      <c r="G51" s="5">
        <f ca="1">IFERROR(__xludf.DUMMYFUNCTION("""COMPUTED_VALUE"""),4)</f>
        <v>4</v>
      </c>
      <c r="H51" s="5">
        <f ca="1">IFERROR(__xludf.DUMMYFUNCTION("""COMPUTED_VALUE"""),2)</f>
        <v>2</v>
      </c>
      <c r="I51" s="5">
        <f ca="1">IFERROR(__xludf.DUMMYFUNCTION("""COMPUTED_VALUE"""),3)</f>
        <v>3</v>
      </c>
      <c r="J51" s="5">
        <f ca="1">IFERROR(__xludf.DUMMYFUNCTION("""COMPUTED_VALUE"""),3)</f>
        <v>3</v>
      </c>
      <c r="K51" s="5">
        <f ca="1">IFERROR(__xludf.DUMMYFUNCTION("""COMPUTED_VALUE"""),0)</f>
        <v>0</v>
      </c>
      <c r="L51" s="5">
        <f ca="1">IFERROR(__xludf.DUMMYFUNCTION("""COMPUTED_VALUE"""),0)</f>
        <v>0</v>
      </c>
      <c r="M51">
        <f ca="1">IFERROR(__xludf.DUMMYFUNCTION("""COMPUTED_VALUE"""),18)</f>
        <v>18</v>
      </c>
      <c r="N51" s="8" t="str">
        <f ca="1">IFERROR(__xludf.DUMMYFUNCTION("""COMPUTED_VALUE"""),"ПО1")</f>
        <v>ПО1</v>
      </c>
    </row>
    <row r="52" spans="1:14" ht="12.45" hidden="1">
      <c r="A52" t="str">
        <f ca="1">IFERROR(__xludf.DUMMYFUNCTION("""COMPUTED_VALUE"""),"III-2-077")</f>
        <v>III-2-077</v>
      </c>
      <c r="B52" t="str">
        <f ca="1">IFERROR(__xludf.DUMMYFUNCTION("""COMPUTED_VALUE"""),"Вишня")</f>
        <v>Вишня</v>
      </c>
      <c r="C52" t="str">
        <f ca="1">IFERROR(__xludf.DUMMYFUNCTION("""COMPUTED_VALUE"""),"Платон")</f>
        <v>Платон</v>
      </c>
      <c r="D52" t="str">
        <f ca="1">IFERROR(__xludf.DUMMYFUNCTION("""COMPUTED_VALUE"""),"Школа Новодевяткинская")</f>
        <v>Школа Новодевяткинская</v>
      </c>
      <c r="E52" s="5">
        <f ca="1">IFERROR(__xludf.DUMMYFUNCTION("""COMPUTED_VALUE"""),3)</f>
        <v>3</v>
      </c>
      <c r="F52" s="5">
        <f ca="1">IFERROR(__xludf.DUMMYFUNCTION("""COMPUTED_VALUE"""),4)</f>
        <v>4</v>
      </c>
      <c r="G52" s="5">
        <f ca="1">IFERROR(__xludf.DUMMYFUNCTION("""COMPUTED_VALUE"""),4)</f>
        <v>4</v>
      </c>
      <c r="H52" s="5">
        <f ca="1">IFERROR(__xludf.DUMMYFUNCTION("""COMPUTED_VALUE"""),2)</f>
        <v>2</v>
      </c>
      <c r="I52" s="5">
        <f ca="1">IFERROR(__xludf.DUMMYFUNCTION("""COMPUTED_VALUE"""),5)</f>
        <v>5</v>
      </c>
      <c r="J52" s="5">
        <f ca="1">IFERROR(__xludf.DUMMYFUNCTION("""COMPUTED_VALUE"""),0)</f>
        <v>0</v>
      </c>
      <c r="K52" s="5">
        <f ca="1">IFERROR(__xludf.DUMMYFUNCTION("""COMPUTED_VALUE"""),0)</f>
        <v>0</v>
      </c>
      <c r="L52" s="5">
        <f ca="1">IFERROR(__xludf.DUMMYFUNCTION("""COMPUTED_VALUE"""),0)</f>
        <v>0</v>
      </c>
      <c r="M52">
        <f ca="1">IFERROR(__xludf.DUMMYFUNCTION("""COMPUTED_VALUE"""),18)</f>
        <v>18</v>
      </c>
      <c r="N52" s="8" t="str">
        <f ca="1">IFERROR(__xludf.DUMMYFUNCTION("""COMPUTED_VALUE"""),"ПО1")</f>
        <v>ПО1</v>
      </c>
    </row>
    <row r="53" spans="1:14" ht="12.45" hidden="1">
      <c r="A53" t="str">
        <f ca="1">IFERROR(__xludf.DUMMYFUNCTION("""COMPUTED_VALUE"""),"III-2-006")</f>
        <v>III-2-006</v>
      </c>
      <c r="B53" t="str">
        <f ca="1">IFERROR(__xludf.DUMMYFUNCTION("""COMPUTED_VALUE"""),"Александров")</f>
        <v>Александров</v>
      </c>
      <c r="C53" t="str">
        <f ca="1">IFERROR(__xludf.DUMMYFUNCTION("""COMPUTED_VALUE"""),"Алексей")</f>
        <v>Алексей</v>
      </c>
      <c r="D53" t="str">
        <f ca="1">IFERROR(__xludf.DUMMYFUNCTION("""COMPUTED_VALUE"""),"Гимназия 52")</f>
        <v>Гимназия 52</v>
      </c>
      <c r="E53" s="5">
        <f ca="1">IFERROR(__xludf.DUMMYFUNCTION("""COMPUTED_VALUE"""),3)</f>
        <v>3</v>
      </c>
      <c r="F53" s="5">
        <f ca="1">IFERROR(__xludf.DUMMYFUNCTION("""COMPUTED_VALUE"""),0)</f>
        <v>0</v>
      </c>
      <c r="G53" s="5">
        <f ca="1">IFERROR(__xludf.DUMMYFUNCTION("""COMPUTED_VALUE"""),0)</f>
        <v>0</v>
      </c>
      <c r="H53" s="5">
        <f ca="1">IFERROR(__xludf.DUMMYFUNCTION("""COMPUTED_VALUE"""),0)</f>
        <v>0</v>
      </c>
      <c r="I53" s="5">
        <f ca="1">IFERROR(__xludf.DUMMYFUNCTION("""COMPUTED_VALUE"""),5)</f>
        <v>5</v>
      </c>
      <c r="J53" s="5">
        <f ca="1">IFERROR(__xludf.DUMMYFUNCTION("""COMPUTED_VALUE"""),3)</f>
        <v>3</v>
      </c>
      <c r="K53" s="5">
        <f ca="1">IFERROR(__xludf.DUMMYFUNCTION("""COMPUTED_VALUE"""),0)</f>
        <v>0</v>
      </c>
      <c r="L53" s="5">
        <f ca="1">IFERROR(__xludf.DUMMYFUNCTION("""COMPUTED_VALUE"""),6)</f>
        <v>6</v>
      </c>
      <c r="M53">
        <f ca="1">IFERROR(__xludf.DUMMYFUNCTION("""COMPUTED_VALUE"""),17)</f>
        <v>17</v>
      </c>
      <c r="N53" s="8" t="str">
        <f ca="1">IFERROR(__xludf.DUMMYFUNCTION("""COMPUTED_VALUE"""),"ПО1")</f>
        <v>ПО1</v>
      </c>
    </row>
    <row r="54" spans="1:14" ht="12.45" hidden="1">
      <c r="A54" t="str">
        <f ca="1">IFERROR(__xludf.DUMMYFUNCTION("""COMPUTED_VALUE"""),"III-2-207")</f>
        <v>III-2-207</v>
      </c>
      <c r="B54" t="str">
        <f ca="1">IFERROR(__xludf.DUMMYFUNCTION("""COMPUTED_VALUE"""),"Клишин")</f>
        <v>Клишин</v>
      </c>
      <c r="C54" t="str">
        <f ca="1">IFERROR(__xludf.DUMMYFUNCTION("""COMPUTED_VALUE"""),"Ярослав")</f>
        <v>Ярослав</v>
      </c>
      <c r="D54" t="str">
        <f ca="1">IFERROR(__xludf.DUMMYFUNCTION("""COMPUTED_VALUE"""),"Школа 1367")</f>
        <v>Школа 1367</v>
      </c>
      <c r="E54" s="5">
        <f ca="1">IFERROR(__xludf.DUMMYFUNCTION("""COMPUTED_VALUE"""),0)</f>
        <v>0</v>
      </c>
      <c r="F54" s="5">
        <f ca="1">IFERROR(__xludf.DUMMYFUNCTION("""COMPUTED_VALUE"""),4)</f>
        <v>4</v>
      </c>
      <c r="G54" s="5">
        <f ca="1">IFERROR(__xludf.DUMMYFUNCTION("""COMPUTED_VALUE"""),4)</f>
        <v>4</v>
      </c>
      <c r="H54" s="5">
        <f ca="1">IFERROR(__xludf.DUMMYFUNCTION("""COMPUTED_VALUE"""),0)</f>
        <v>0</v>
      </c>
      <c r="I54" s="5">
        <f ca="1">IFERROR(__xludf.DUMMYFUNCTION("""COMPUTED_VALUE"""),0)</f>
        <v>0</v>
      </c>
      <c r="J54" s="5">
        <f ca="1">IFERROR(__xludf.DUMMYFUNCTION("""COMPUTED_VALUE"""),3)</f>
        <v>3</v>
      </c>
      <c r="K54" s="5">
        <f ca="1">IFERROR(__xludf.DUMMYFUNCTION("""COMPUTED_VALUE"""),0)</f>
        <v>0</v>
      </c>
      <c r="L54" s="5">
        <f ca="1">IFERROR(__xludf.DUMMYFUNCTION("""COMPUTED_VALUE"""),6)</f>
        <v>6</v>
      </c>
      <c r="M54">
        <f ca="1">IFERROR(__xludf.DUMMYFUNCTION("""COMPUTED_VALUE"""),17)</f>
        <v>17</v>
      </c>
      <c r="N54" s="8" t="str">
        <f ca="1">IFERROR(__xludf.DUMMYFUNCTION("""COMPUTED_VALUE"""),"ПО1")</f>
        <v>ПО1</v>
      </c>
    </row>
    <row r="55" spans="1:14" ht="12.45" hidden="1">
      <c r="A55" t="str">
        <f ca="1">IFERROR(__xludf.DUMMYFUNCTION("""COMPUTED_VALUE"""),"III-2-107")</f>
        <v>III-2-107</v>
      </c>
      <c r="B55" t="str">
        <f ca="1">IFERROR(__xludf.DUMMYFUNCTION("""COMPUTED_VALUE"""),"Грачев")</f>
        <v>Грачев</v>
      </c>
      <c r="C55" t="str">
        <f ca="1">IFERROR(__xludf.DUMMYFUNCTION("""COMPUTED_VALUE"""),"Артур")</f>
        <v>Артур</v>
      </c>
      <c r="D55" t="str">
        <f ca="1">IFERROR(__xludf.DUMMYFUNCTION("""COMPUTED_VALUE"""),"Школа 644")</f>
        <v>Школа 644</v>
      </c>
      <c r="E55" s="5">
        <f ca="1">IFERROR(__xludf.DUMMYFUNCTION("""COMPUTED_VALUE"""),3)</f>
        <v>3</v>
      </c>
      <c r="F55" s="5">
        <f ca="1">IFERROR(__xludf.DUMMYFUNCTION("""COMPUTED_VALUE"""),4)</f>
        <v>4</v>
      </c>
      <c r="G55" s="5">
        <f ca="1">IFERROR(__xludf.DUMMYFUNCTION("""COMPUTED_VALUE"""),4)</f>
        <v>4</v>
      </c>
      <c r="H55" s="5">
        <f ca="1">IFERROR(__xludf.DUMMYFUNCTION("""COMPUTED_VALUE"""),0)</f>
        <v>0</v>
      </c>
      <c r="I55" s="5">
        <f ca="1">IFERROR(__xludf.DUMMYFUNCTION("""COMPUTED_VALUE"""),0)</f>
        <v>0</v>
      </c>
      <c r="J55" s="5">
        <f ca="1">IFERROR(__xludf.DUMMYFUNCTION("""COMPUTED_VALUE"""),0)</f>
        <v>0</v>
      </c>
      <c r="K55" s="5">
        <f ca="1">IFERROR(__xludf.DUMMYFUNCTION("""COMPUTED_VALUE"""),0)</f>
        <v>0</v>
      </c>
      <c r="L55" s="5">
        <f ca="1">IFERROR(__xludf.DUMMYFUNCTION("""COMPUTED_VALUE"""),6)</f>
        <v>6</v>
      </c>
      <c r="M55">
        <f ca="1">IFERROR(__xludf.DUMMYFUNCTION("""COMPUTED_VALUE"""),17)</f>
        <v>17</v>
      </c>
      <c r="N55" s="8" t="str">
        <f ca="1">IFERROR(__xludf.DUMMYFUNCTION("""COMPUTED_VALUE"""),"ПО1")</f>
        <v>ПО1</v>
      </c>
    </row>
    <row r="56" spans="1:14" ht="12.45" hidden="1">
      <c r="A56" t="str">
        <f ca="1">IFERROR(__xludf.DUMMYFUNCTION("""COMPUTED_VALUE"""),"V-2-414")</f>
        <v>V-2-414</v>
      </c>
      <c r="B56" t="str">
        <f ca="1">IFERROR(__xludf.DUMMYFUNCTION("""COMPUTED_VALUE"""),"Стриженков")</f>
        <v>Стриженков</v>
      </c>
      <c r="C56" t="str">
        <f ca="1">IFERROR(__xludf.DUMMYFUNCTION("""COMPUTED_VALUE"""),"Савелий")</f>
        <v>Савелий</v>
      </c>
      <c r="D56" t="str">
        <f ca="1">IFERROR(__xludf.DUMMYFUNCTION("""COMPUTED_VALUE"""),"Школа 625")</f>
        <v>Школа 625</v>
      </c>
      <c r="E56" s="5">
        <f ca="1">IFERROR(__xludf.DUMMYFUNCTION("""COMPUTED_VALUE"""),3)</f>
        <v>3</v>
      </c>
      <c r="F56" s="5">
        <f ca="1">IFERROR(__xludf.DUMMYFUNCTION("""COMPUTED_VALUE"""),4)</f>
        <v>4</v>
      </c>
      <c r="G56" s="5">
        <f ca="1">IFERROR(__xludf.DUMMYFUNCTION("""COMPUTED_VALUE"""),4)</f>
        <v>4</v>
      </c>
      <c r="H56" s="5">
        <f ca="1">IFERROR(__xludf.DUMMYFUNCTION("""COMPUTED_VALUE"""),0)</f>
        <v>0</v>
      </c>
      <c r="I56" s="5">
        <f ca="1">IFERROR(__xludf.DUMMYFUNCTION("""COMPUTED_VALUE"""),0)</f>
        <v>0</v>
      </c>
      <c r="J56" s="5">
        <f ca="1">IFERROR(__xludf.DUMMYFUNCTION("""COMPUTED_VALUE"""),0)</f>
        <v>0</v>
      </c>
      <c r="K56" s="5">
        <f ca="1">IFERROR(__xludf.DUMMYFUNCTION("""COMPUTED_VALUE"""),0)</f>
        <v>0</v>
      </c>
      <c r="L56" s="5">
        <f ca="1">IFERROR(__xludf.DUMMYFUNCTION("""COMPUTED_VALUE"""),6)</f>
        <v>6</v>
      </c>
      <c r="M56">
        <f ca="1">IFERROR(__xludf.DUMMYFUNCTION("""COMPUTED_VALUE"""),17)</f>
        <v>17</v>
      </c>
      <c r="N56" s="8" t="str">
        <f ca="1">IFERROR(__xludf.DUMMYFUNCTION("""COMPUTED_VALUE"""),"ПО1")</f>
        <v>ПО1</v>
      </c>
    </row>
    <row r="57" spans="1:14" ht="12.45" hidden="1">
      <c r="A57" t="str">
        <f ca="1">IFERROR(__xludf.DUMMYFUNCTION("""COMPUTED_VALUE"""),"III-2-171")</f>
        <v>III-2-171</v>
      </c>
      <c r="B57" t="str">
        <f ca="1">IFERROR(__xludf.DUMMYFUNCTION("""COMPUTED_VALUE"""),"Землянский")</f>
        <v>Землянский</v>
      </c>
      <c r="C57" t="str">
        <f ca="1">IFERROR(__xludf.DUMMYFUNCTION("""COMPUTED_VALUE"""),"Богдан")</f>
        <v>Богдан</v>
      </c>
      <c r="D57" t="str">
        <f ca="1">IFERROR(__xludf.DUMMYFUNCTION("""COMPUTED_VALUE"""),"Школа 347")</f>
        <v>Школа 347</v>
      </c>
      <c r="E57" s="5">
        <f ca="1">IFERROR(__xludf.DUMMYFUNCTION("""COMPUTED_VALUE"""),3)</f>
        <v>3</v>
      </c>
      <c r="F57" s="5">
        <f ca="1">IFERROR(__xludf.DUMMYFUNCTION("""COMPUTED_VALUE"""),0)</f>
        <v>0</v>
      </c>
      <c r="G57" s="5">
        <f ca="1">IFERROR(__xludf.DUMMYFUNCTION("""COMPUTED_VALUE"""),2)</f>
        <v>2</v>
      </c>
      <c r="H57" s="5">
        <f ca="1">IFERROR(__xludf.DUMMYFUNCTION("""COMPUTED_VALUE"""),0)</f>
        <v>0</v>
      </c>
      <c r="I57" s="5">
        <f ca="1">IFERROR(__xludf.DUMMYFUNCTION("""COMPUTED_VALUE"""),5)</f>
        <v>5</v>
      </c>
      <c r="J57" s="5">
        <f ca="1">IFERROR(__xludf.DUMMYFUNCTION("""COMPUTED_VALUE"""),0)</f>
        <v>0</v>
      </c>
      <c r="K57" s="5">
        <f ca="1">IFERROR(__xludf.DUMMYFUNCTION("""COMPUTED_VALUE"""),7)</f>
        <v>7</v>
      </c>
      <c r="L57" s="5">
        <f ca="1">IFERROR(__xludf.DUMMYFUNCTION("""COMPUTED_VALUE"""),0)</f>
        <v>0</v>
      </c>
      <c r="M57">
        <f ca="1">IFERROR(__xludf.DUMMYFUNCTION("""COMPUTED_VALUE"""),17)</f>
        <v>17</v>
      </c>
      <c r="N57" s="8" t="str">
        <f ca="1">IFERROR(__xludf.DUMMYFUNCTION("""COMPUTED_VALUE"""),"ПО1")</f>
        <v>ПО1</v>
      </c>
    </row>
    <row r="58" spans="1:14" ht="12.45" hidden="1">
      <c r="A58" t="str">
        <f ca="1">IFERROR(__xludf.DUMMYFUNCTION("""COMPUTED_VALUE"""),"III-2-013")</f>
        <v>III-2-013</v>
      </c>
      <c r="B58" t="str">
        <f ca="1">IFERROR(__xludf.DUMMYFUNCTION("""COMPUTED_VALUE"""),"Алешин")</f>
        <v>Алешин</v>
      </c>
      <c r="C58" t="str">
        <f ca="1">IFERROR(__xludf.DUMMYFUNCTION("""COMPUTED_VALUE"""),"Александр")</f>
        <v>Александр</v>
      </c>
      <c r="D58" t="str">
        <f ca="1">IFERROR(__xludf.DUMMYFUNCTION("""COMPUTED_VALUE"""),"Лицей 179")</f>
        <v>Лицей 179</v>
      </c>
      <c r="E58" s="5">
        <f ca="1">IFERROR(__xludf.DUMMYFUNCTION("""COMPUTED_VALUE"""),3)</f>
        <v>3</v>
      </c>
      <c r="F58" s="5">
        <f ca="1">IFERROR(__xludf.DUMMYFUNCTION("""COMPUTED_VALUE"""),1)</f>
        <v>1</v>
      </c>
      <c r="G58" s="5">
        <f ca="1">IFERROR(__xludf.DUMMYFUNCTION("""COMPUTED_VALUE"""),4)</f>
        <v>4</v>
      </c>
      <c r="H58" s="5">
        <f ca="1">IFERROR(__xludf.DUMMYFUNCTION("""COMPUTED_VALUE"""),0)</f>
        <v>0</v>
      </c>
      <c r="I58" s="5">
        <f ca="1">IFERROR(__xludf.DUMMYFUNCTION("""COMPUTED_VALUE"""),5)</f>
        <v>5</v>
      </c>
      <c r="J58" s="5">
        <f ca="1">IFERROR(__xludf.DUMMYFUNCTION("""COMPUTED_VALUE"""),0)</f>
        <v>0</v>
      </c>
      <c r="K58" s="5">
        <f ca="1">IFERROR(__xludf.DUMMYFUNCTION("""COMPUTED_VALUE"""),4)</f>
        <v>4</v>
      </c>
      <c r="L58" s="5">
        <f ca="1">IFERROR(__xludf.DUMMYFUNCTION("""COMPUTED_VALUE"""),0)</f>
        <v>0</v>
      </c>
      <c r="M58">
        <f ca="1">IFERROR(__xludf.DUMMYFUNCTION("""COMPUTED_VALUE"""),17)</f>
        <v>17</v>
      </c>
      <c r="N58" s="8" t="str">
        <f ca="1">IFERROR(__xludf.DUMMYFUNCTION("""COMPUTED_VALUE"""),"ПО1")</f>
        <v>ПО1</v>
      </c>
    </row>
    <row r="59" spans="1:14" ht="12.45" hidden="1">
      <c r="A59" t="str">
        <f ca="1">IFERROR(__xludf.DUMMYFUNCTION("""COMPUTED_VALUE"""),"III-2-194")</f>
        <v>III-2-194</v>
      </c>
      <c r="B59" t="str">
        <f ca="1">IFERROR(__xludf.DUMMYFUNCTION("""COMPUTED_VALUE"""),"Карьев")</f>
        <v>Карьев</v>
      </c>
      <c r="C59" t="str">
        <f ca="1">IFERROR(__xludf.DUMMYFUNCTION("""COMPUTED_VALUE"""),"Денис")</f>
        <v>Денис</v>
      </c>
      <c r="D59" t="str">
        <f ca="1">IFERROR(__xludf.DUMMYFUNCTION("""COMPUTED_VALUE"""),"Школа 425")</f>
        <v>Школа 425</v>
      </c>
      <c r="E59" s="5">
        <f ca="1">IFERROR(__xludf.DUMMYFUNCTION("""COMPUTED_VALUE"""),3)</f>
        <v>3</v>
      </c>
      <c r="F59" s="5">
        <f ca="1">IFERROR(__xludf.DUMMYFUNCTION("""COMPUTED_VALUE"""),4)</f>
        <v>4</v>
      </c>
      <c r="G59" s="5">
        <f ca="1">IFERROR(__xludf.DUMMYFUNCTION("""COMPUTED_VALUE"""),0)</f>
        <v>0</v>
      </c>
      <c r="H59" s="5">
        <f ca="1">IFERROR(__xludf.DUMMYFUNCTION("""COMPUTED_VALUE"""),0)</f>
        <v>0</v>
      </c>
      <c r="I59" s="5">
        <f ca="1">IFERROR(__xludf.DUMMYFUNCTION("""COMPUTED_VALUE"""),5)</f>
        <v>5</v>
      </c>
      <c r="J59" s="5">
        <f ca="1">IFERROR(__xludf.DUMMYFUNCTION("""COMPUTED_VALUE"""),2)</f>
        <v>2</v>
      </c>
      <c r="K59" s="5">
        <f ca="1">IFERROR(__xludf.DUMMYFUNCTION("""COMPUTED_VALUE"""),3)</f>
        <v>3</v>
      </c>
      <c r="L59" s="5">
        <f ca="1">IFERROR(__xludf.DUMMYFUNCTION("""COMPUTED_VALUE"""),0)</f>
        <v>0</v>
      </c>
      <c r="M59">
        <f ca="1">IFERROR(__xludf.DUMMYFUNCTION("""COMPUTED_VALUE"""),17)</f>
        <v>17</v>
      </c>
      <c r="N59" s="8" t="str">
        <f ca="1">IFERROR(__xludf.DUMMYFUNCTION("""COMPUTED_VALUE"""),"ПО1")</f>
        <v>ПО1</v>
      </c>
    </row>
    <row r="60" spans="1:14" ht="12.45" hidden="1">
      <c r="A60" t="str">
        <f ca="1">IFERROR(__xludf.DUMMYFUNCTION("""COMPUTED_VALUE"""),"III-2-186")</f>
        <v>III-2-186</v>
      </c>
      <c r="B60" t="str">
        <f ca="1">IFERROR(__xludf.DUMMYFUNCTION("""COMPUTED_VALUE"""),"Кавалерова")</f>
        <v>Кавалерова</v>
      </c>
      <c r="C60" t="str">
        <f ca="1">IFERROR(__xludf.DUMMYFUNCTION("""COMPUTED_VALUE"""),"Дарья")</f>
        <v>Дарья</v>
      </c>
      <c r="D60" t="str">
        <f ca="1">IFERROR(__xludf.DUMMYFUNCTION("""COMPUTED_VALUE"""),"Гимназия 642 ЗЕМЛЯ И ВСЕЛЕННАЯ")</f>
        <v>Гимназия 642 ЗЕМЛЯ И ВСЕЛЕННАЯ</v>
      </c>
      <c r="E60" s="5">
        <f ca="1">IFERROR(__xludf.DUMMYFUNCTION("""COMPUTED_VALUE"""),3)</f>
        <v>3</v>
      </c>
      <c r="F60" s="5">
        <f ca="1">IFERROR(__xludf.DUMMYFUNCTION("""COMPUTED_VALUE"""),0)</f>
        <v>0</v>
      </c>
      <c r="G60" s="5">
        <f ca="1">IFERROR(__xludf.DUMMYFUNCTION("""COMPUTED_VALUE"""),4)</f>
        <v>4</v>
      </c>
      <c r="H60" s="5">
        <f ca="1">IFERROR(__xludf.DUMMYFUNCTION("""COMPUTED_VALUE"""),2)</f>
        <v>2</v>
      </c>
      <c r="I60" s="5">
        <f ca="1">IFERROR(__xludf.DUMMYFUNCTION("""COMPUTED_VALUE"""),5)</f>
        <v>5</v>
      </c>
      <c r="J60" s="5">
        <f ca="1">IFERROR(__xludf.DUMMYFUNCTION("""COMPUTED_VALUE"""),0)</f>
        <v>0</v>
      </c>
      <c r="K60" s="5">
        <f ca="1">IFERROR(__xludf.DUMMYFUNCTION("""COMPUTED_VALUE"""),3)</f>
        <v>3</v>
      </c>
      <c r="L60" s="5">
        <f ca="1">IFERROR(__xludf.DUMMYFUNCTION("""COMPUTED_VALUE"""),0)</f>
        <v>0</v>
      </c>
      <c r="M60">
        <f ca="1">IFERROR(__xludf.DUMMYFUNCTION("""COMPUTED_VALUE"""),17)</f>
        <v>17</v>
      </c>
      <c r="N60" s="8" t="str">
        <f ca="1">IFERROR(__xludf.DUMMYFUNCTION("""COMPUTED_VALUE"""),"ПО1")</f>
        <v>ПО1</v>
      </c>
    </row>
    <row r="61" spans="1:14" ht="12.45" hidden="1">
      <c r="A61" t="str">
        <f ca="1">IFERROR(__xludf.DUMMYFUNCTION("""COMPUTED_VALUE"""),"V-2-306")</f>
        <v>V-2-306</v>
      </c>
      <c r="B61" t="str">
        <f ca="1">IFERROR(__xludf.DUMMYFUNCTION("""COMPUTED_VALUE"""),"Напреенко")</f>
        <v>Напреенко</v>
      </c>
      <c r="C61" t="str">
        <f ca="1">IFERROR(__xludf.DUMMYFUNCTION("""COMPUTED_VALUE"""),"Владислав")</f>
        <v>Владислав</v>
      </c>
      <c r="D61" t="str">
        <f ca="1">IFERROR(__xludf.DUMMYFUNCTION("""COMPUTED_VALUE"""),"Гимназия 498")</f>
        <v>Гимназия 498</v>
      </c>
      <c r="E61" s="5">
        <f ca="1">IFERROR(__xludf.DUMMYFUNCTION("""COMPUTED_VALUE"""),3)</f>
        <v>3</v>
      </c>
      <c r="F61" s="5">
        <f ca="1">IFERROR(__xludf.DUMMYFUNCTION("""COMPUTED_VALUE"""),4)</f>
        <v>4</v>
      </c>
      <c r="G61" s="5">
        <f ca="1">IFERROR(__xludf.DUMMYFUNCTION("""COMPUTED_VALUE"""),4)</f>
        <v>4</v>
      </c>
      <c r="H61" s="5">
        <f ca="1">IFERROR(__xludf.DUMMYFUNCTION("""COMPUTED_VALUE"""),0)</f>
        <v>0</v>
      </c>
      <c r="I61" s="5">
        <f ca="1">IFERROR(__xludf.DUMMYFUNCTION("""COMPUTED_VALUE"""),5)</f>
        <v>5</v>
      </c>
      <c r="J61" s="5">
        <f ca="1">IFERROR(__xludf.DUMMYFUNCTION("""COMPUTED_VALUE"""),0)</f>
        <v>0</v>
      </c>
      <c r="K61" s="5">
        <f ca="1">IFERROR(__xludf.DUMMYFUNCTION("""COMPUTED_VALUE"""),1)</f>
        <v>1</v>
      </c>
      <c r="L61" s="5">
        <f ca="1">IFERROR(__xludf.DUMMYFUNCTION("""COMPUTED_VALUE"""),0)</f>
        <v>0</v>
      </c>
      <c r="M61">
        <f ca="1">IFERROR(__xludf.DUMMYFUNCTION("""COMPUTED_VALUE"""),17)</f>
        <v>17</v>
      </c>
      <c r="N61" s="8" t="str">
        <f ca="1">IFERROR(__xludf.DUMMYFUNCTION("""COMPUTED_VALUE"""),"ПО1")</f>
        <v>ПО1</v>
      </c>
    </row>
    <row r="62" spans="1:14" ht="12.45" hidden="1">
      <c r="A62" t="str">
        <f ca="1">IFERROR(__xludf.DUMMYFUNCTION("""COMPUTED_VALUE"""),"III-2-209")</f>
        <v>III-2-209</v>
      </c>
      <c r="B62" t="str">
        <f ca="1">IFERROR(__xludf.DUMMYFUNCTION("""COMPUTED_VALUE"""),"Ковалев")</f>
        <v>Ковалев</v>
      </c>
      <c r="C62" t="str">
        <f ca="1">IFERROR(__xludf.DUMMYFUNCTION("""COMPUTED_VALUE"""),"Артем")</f>
        <v>Артем</v>
      </c>
      <c r="D62" t="str">
        <f ca="1">IFERROR(__xludf.DUMMYFUNCTION("""COMPUTED_VALUE"""),"Школа Квадривиум")</f>
        <v>Школа Квадривиум</v>
      </c>
      <c r="E62" s="5">
        <f ca="1">IFERROR(__xludf.DUMMYFUNCTION("""COMPUTED_VALUE"""),3)</f>
        <v>3</v>
      </c>
      <c r="F62" s="5">
        <f ca="1">IFERROR(__xludf.DUMMYFUNCTION("""COMPUTED_VALUE"""),0)</f>
        <v>0</v>
      </c>
      <c r="G62" s="5">
        <f ca="1">IFERROR(__xludf.DUMMYFUNCTION("""COMPUTED_VALUE"""),4)</f>
        <v>4</v>
      </c>
      <c r="H62" s="5">
        <f ca="1">IFERROR(__xludf.DUMMYFUNCTION("""COMPUTED_VALUE"""),2)</f>
        <v>2</v>
      </c>
      <c r="I62" s="5">
        <f ca="1">IFERROR(__xludf.DUMMYFUNCTION("""COMPUTED_VALUE"""),5)</f>
        <v>5</v>
      </c>
      <c r="J62" s="5">
        <f ca="1">IFERROR(__xludf.DUMMYFUNCTION("""COMPUTED_VALUE"""),3)</f>
        <v>3</v>
      </c>
      <c r="K62" s="5">
        <f ca="1">IFERROR(__xludf.DUMMYFUNCTION("""COMPUTED_VALUE"""),0)</f>
        <v>0</v>
      </c>
      <c r="L62" s="5">
        <f ca="1">IFERROR(__xludf.DUMMYFUNCTION("""COMPUTED_VALUE"""),0)</f>
        <v>0</v>
      </c>
      <c r="M62">
        <f ca="1">IFERROR(__xludf.DUMMYFUNCTION("""COMPUTED_VALUE"""),17)</f>
        <v>17</v>
      </c>
      <c r="N62" s="8" t="str">
        <f ca="1">IFERROR(__xludf.DUMMYFUNCTION("""COMPUTED_VALUE"""),"ПО1")</f>
        <v>ПО1</v>
      </c>
    </row>
    <row r="63" spans="1:14" ht="12.45" hidden="1">
      <c r="A63" t="str">
        <f ca="1">IFERROR(__xludf.DUMMYFUNCTION("""COMPUTED_VALUE"""),"III-2-139")</f>
        <v>III-2-139</v>
      </c>
      <c r="B63" t="str">
        <f ca="1">IFERROR(__xludf.DUMMYFUNCTION("""COMPUTED_VALUE"""),"Дубинин")</f>
        <v>Дубинин</v>
      </c>
      <c r="C63" t="str">
        <f ca="1">IFERROR(__xludf.DUMMYFUNCTION("""COMPUTED_VALUE"""),"Даниил")</f>
        <v>Даниил</v>
      </c>
      <c r="D63" t="str">
        <f ca="1">IFERROR(__xludf.DUMMYFUNCTION("""COMPUTED_VALUE"""),"Школа 655")</f>
        <v>Школа 655</v>
      </c>
      <c r="E63" s="5">
        <f ca="1">IFERROR(__xludf.DUMMYFUNCTION("""COMPUTED_VALUE"""),1)</f>
        <v>1</v>
      </c>
      <c r="F63" s="5">
        <f ca="1">IFERROR(__xludf.DUMMYFUNCTION("""COMPUTED_VALUE"""),4)</f>
        <v>4</v>
      </c>
      <c r="G63" s="5">
        <f ca="1">IFERROR(__xludf.DUMMYFUNCTION("""COMPUTED_VALUE"""),4)</f>
        <v>4</v>
      </c>
      <c r="H63" s="5">
        <f ca="1">IFERROR(__xludf.DUMMYFUNCTION("""COMPUTED_VALUE"""),3)</f>
        <v>3</v>
      </c>
      <c r="I63" s="5">
        <f ca="1">IFERROR(__xludf.DUMMYFUNCTION("""COMPUTED_VALUE"""),3)</f>
        <v>3</v>
      </c>
      <c r="J63" s="5">
        <f ca="1">IFERROR(__xludf.DUMMYFUNCTION("""COMPUTED_VALUE"""),2)</f>
        <v>2</v>
      </c>
      <c r="K63" s="5">
        <f ca="1">IFERROR(__xludf.DUMMYFUNCTION("""COMPUTED_VALUE"""),0)</f>
        <v>0</v>
      </c>
      <c r="L63" s="5">
        <f ca="1">IFERROR(__xludf.DUMMYFUNCTION("""COMPUTED_VALUE"""),0)</f>
        <v>0</v>
      </c>
      <c r="M63">
        <f ca="1">IFERROR(__xludf.DUMMYFUNCTION("""COMPUTED_VALUE"""),17)</f>
        <v>17</v>
      </c>
      <c r="N63" s="8" t="str">
        <f ca="1">IFERROR(__xludf.DUMMYFUNCTION("""COMPUTED_VALUE"""),"ПО1")</f>
        <v>ПО1</v>
      </c>
    </row>
    <row r="64" spans="1:14" ht="12.45" hidden="1">
      <c r="A64" t="str">
        <f ca="1">IFERROR(__xludf.DUMMYFUNCTION("""COMPUTED_VALUE"""),"III-2-005")</f>
        <v>III-2-005</v>
      </c>
      <c r="B64" t="str">
        <f ca="1">IFERROR(__xludf.DUMMYFUNCTION("""COMPUTED_VALUE"""),"Аксенова")</f>
        <v>Аксенова</v>
      </c>
      <c r="C64" t="str">
        <f ca="1">IFERROR(__xludf.DUMMYFUNCTION("""COMPUTED_VALUE"""),"Елизавета")</f>
        <v>Елизавета</v>
      </c>
      <c r="D64" t="str">
        <f ca="1">IFERROR(__xludf.DUMMYFUNCTION("""COMPUTED_VALUE"""),"Гимназия 642 ""Земля и Вселенная""")</f>
        <v>Гимназия 642 "Земля и Вселенная"</v>
      </c>
      <c r="E64" s="5">
        <f ca="1">IFERROR(__xludf.DUMMYFUNCTION("""COMPUTED_VALUE"""),3)</f>
        <v>3</v>
      </c>
      <c r="F64" s="5">
        <f ca="1">IFERROR(__xludf.DUMMYFUNCTION("""COMPUTED_VALUE"""),1)</f>
        <v>1</v>
      </c>
      <c r="G64" s="5">
        <f ca="1">IFERROR(__xludf.DUMMYFUNCTION("""COMPUTED_VALUE"""),4)</f>
        <v>4</v>
      </c>
      <c r="H64" s="5">
        <f ca="1">IFERROR(__xludf.DUMMYFUNCTION("""COMPUTED_VALUE"""),6)</f>
        <v>6</v>
      </c>
      <c r="I64" s="5">
        <f ca="1">IFERROR(__xludf.DUMMYFUNCTION("""COMPUTED_VALUE"""),3)</f>
        <v>3</v>
      </c>
      <c r="J64" s="5">
        <f ca="1">IFERROR(__xludf.DUMMYFUNCTION("""COMPUTED_VALUE"""),0)</f>
        <v>0</v>
      </c>
      <c r="K64" s="5">
        <f ca="1">IFERROR(__xludf.DUMMYFUNCTION("""COMPUTED_VALUE"""),0)</f>
        <v>0</v>
      </c>
      <c r="L64" s="5">
        <f ca="1">IFERROR(__xludf.DUMMYFUNCTION("""COMPUTED_VALUE"""),0)</f>
        <v>0</v>
      </c>
      <c r="M64">
        <f ca="1">IFERROR(__xludf.DUMMYFUNCTION("""COMPUTED_VALUE"""),17)</f>
        <v>17</v>
      </c>
      <c r="N64" s="8" t="str">
        <f ca="1">IFERROR(__xludf.DUMMYFUNCTION("""COMPUTED_VALUE"""),"ПО1")</f>
        <v>ПО1</v>
      </c>
    </row>
    <row r="65" spans="1:14" ht="12.45" hidden="1">
      <c r="A65" t="str">
        <f ca="1">IFERROR(__xludf.DUMMYFUNCTION("""COMPUTED_VALUE"""),"V-2-407")</f>
        <v>V-2-407</v>
      </c>
      <c r="B65" t="str">
        <f ca="1">IFERROR(__xludf.DUMMYFUNCTION("""COMPUTED_VALUE"""),"Сорокин")</f>
        <v>Сорокин</v>
      </c>
      <c r="C65" t="str">
        <f ca="1">IFERROR(__xludf.DUMMYFUNCTION("""COMPUTED_VALUE"""),"Дмитрий")</f>
        <v>Дмитрий</v>
      </c>
      <c r="D65" t="str">
        <f ca="1">IFERROR(__xludf.DUMMYFUNCTION("""COMPUTED_VALUE"""),"Школа МОУ Сертоловская СОШ 2")</f>
        <v>Школа МОУ Сертоловская СОШ 2</v>
      </c>
      <c r="E65" s="5">
        <f ca="1">IFERROR(__xludf.DUMMYFUNCTION("""COMPUTED_VALUE"""),3)</f>
        <v>3</v>
      </c>
      <c r="F65" s="5">
        <f ca="1">IFERROR(__xludf.DUMMYFUNCTION("""COMPUTED_VALUE"""),4)</f>
        <v>4</v>
      </c>
      <c r="G65" s="5">
        <f ca="1">IFERROR(__xludf.DUMMYFUNCTION("""COMPUTED_VALUE"""),4)</f>
        <v>4</v>
      </c>
      <c r="H65" s="5">
        <f ca="1">IFERROR(__xludf.DUMMYFUNCTION("""COMPUTED_VALUE"""),6)</f>
        <v>6</v>
      </c>
      <c r="I65" s="5">
        <f ca="1">IFERROR(__xludf.DUMMYFUNCTION("""COMPUTED_VALUE"""),0)</f>
        <v>0</v>
      </c>
      <c r="J65" s="5">
        <f ca="1">IFERROR(__xludf.DUMMYFUNCTION("""COMPUTED_VALUE"""),0)</f>
        <v>0</v>
      </c>
      <c r="K65" s="5">
        <f ca="1">IFERROR(__xludf.DUMMYFUNCTION("""COMPUTED_VALUE"""),0)</f>
        <v>0</v>
      </c>
      <c r="L65" s="5">
        <f ca="1">IFERROR(__xludf.DUMMYFUNCTION("""COMPUTED_VALUE"""),0)</f>
        <v>0</v>
      </c>
      <c r="M65">
        <f ca="1">IFERROR(__xludf.DUMMYFUNCTION("""COMPUTED_VALUE"""),17)</f>
        <v>17</v>
      </c>
      <c r="N65" s="8" t="str">
        <f ca="1">IFERROR(__xludf.DUMMYFUNCTION("""COMPUTED_VALUE"""),"ПО1")</f>
        <v>ПО1</v>
      </c>
    </row>
    <row r="66" spans="1:14" ht="12.45" hidden="1">
      <c r="A66" t="str">
        <f ca="1">IFERROR(__xludf.DUMMYFUNCTION("""COMPUTED_VALUE"""),"III-2-106")</f>
        <v>III-2-106</v>
      </c>
      <c r="B66" t="str">
        <f ca="1">IFERROR(__xludf.DUMMYFUNCTION("""COMPUTED_VALUE"""),"Гранкин")</f>
        <v>Гранкин</v>
      </c>
      <c r="C66" t="str">
        <f ca="1">IFERROR(__xludf.DUMMYFUNCTION("""COMPUTED_VALUE"""),"Лев")</f>
        <v>Лев</v>
      </c>
      <c r="D66" t="str">
        <f ca="1">IFERROR(__xludf.DUMMYFUNCTION("""COMPUTED_VALUE"""),"Школа 292")</f>
        <v>Школа 292</v>
      </c>
      <c r="E66" s="5">
        <f ca="1">IFERROR(__xludf.DUMMYFUNCTION("""COMPUTED_VALUE"""),3)</f>
        <v>3</v>
      </c>
      <c r="F66" s="5">
        <f ca="1">IFERROR(__xludf.DUMMYFUNCTION("""COMPUTED_VALUE"""),0)</f>
        <v>0</v>
      </c>
      <c r="G66" s="5">
        <f ca="1">IFERROR(__xludf.DUMMYFUNCTION("""COMPUTED_VALUE"""),4)</f>
        <v>4</v>
      </c>
      <c r="H66" s="5">
        <f ca="1">IFERROR(__xludf.DUMMYFUNCTION("""COMPUTED_VALUE"""),0)</f>
        <v>0</v>
      </c>
      <c r="I66" s="5">
        <f ca="1">IFERROR(__xludf.DUMMYFUNCTION("""COMPUTED_VALUE"""),5)</f>
        <v>5</v>
      </c>
      <c r="J66" s="5">
        <f ca="1">IFERROR(__xludf.DUMMYFUNCTION("""COMPUTED_VALUE"""),0)</f>
        <v>0</v>
      </c>
      <c r="K66" s="5">
        <f ca="1">IFERROR(__xludf.DUMMYFUNCTION("""COMPUTED_VALUE"""),4)</f>
        <v>4</v>
      </c>
      <c r="L66" s="5">
        <f ca="1">IFERROR(__xludf.DUMMYFUNCTION("""COMPUTED_VALUE"""),0)</f>
        <v>0</v>
      </c>
      <c r="M66">
        <f ca="1">IFERROR(__xludf.DUMMYFUNCTION("""COMPUTED_VALUE"""),16)</f>
        <v>16</v>
      </c>
      <c r="N66" s="8" t="str">
        <f ca="1">IFERROR(__xludf.DUMMYFUNCTION("""COMPUTED_VALUE"""),"ПО2")</f>
        <v>ПО2</v>
      </c>
    </row>
    <row r="67" spans="1:14" ht="12.45" hidden="1">
      <c r="A67" t="str">
        <f ca="1">IFERROR(__xludf.DUMMYFUNCTION("""COMPUTED_VALUE"""),"V-2-350")</f>
        <v>V-2-350</v>
      </c>
      <c r="B67" t="str">
        <f ca="1">IFERROR(__xludf.DUMMYFUNCTION("""COMPUTED_VALUE"""),"Прокуроров")</f>
        <v>Прокуроров</v>
      </c>
      <c r="C67" t="str">
        <f ca="1">IFERROR(__xludf.DUMMYFUNCTION("""COMPUTED_VALUE"""),"Артем")</f>
        <v>Артем</v>
      </c>
      <c r="D67" t="str">
        <f ca="1">IFERROR(__xludf.DUMMYFUNCTION("""COMPUTED_VALUE"""),"Школа 10")</f>
        <v>Школа 10</v>
      </c>
      <c r="E67" s="5">
        <f ca="1">IFERROR(__xludf.DUMMYFUNCTION("""COMPUTED_VALUE"""),3)</f>
        <v>3</v>
      </c>
      <c r="F67" s="5">
        <f ca="1">IFERROR(__xludf.DUMMYFUNCTION("""COMPUTED_VALUE"""),4)</f>
        <v>4</v>
      </c>
      <c r="G67" s="5">
        <f ca="1">IFERROR(__xludf.DUMMYFUNCTION("""COMPUTED_VALUE"""),4)</f>
        <v>4</v>
      </c>
      <c r="H67" s="5">
        <f ca="1">IFERROR(__xludf.DUMMYFUNCTION("""COMPUTED_VALUE"""),0)</f>
        <v>0</v>
      </c>
      <c r="I67" s="5">
        <f ca="1">IFERROR(__xludf.DUMMYFUNCTION("""COMPUTED_VALUE"""),0)</f>
        <v>0</v>
      </c>
      <c r="J67" s="5">
        <f ca="1">IFERROR(__xludf.DUMMYFUNCTION("""COMPUTED_VALUE"""),5)</f>
        <v>5</v>
      </c>
      <c r="K67" s="5">
        <f ca="1">IFERROR(__xludf.DUMMYFUNCTION("""COMPUTED_VALUE"""),0)</f>
        <v>0</v>
      </c>
      <c r="L67" s="5">
        <f ca="1">IFERROR(__xludf.DUMMYFUNCTION("""COMPUTED_VALUE"""),0)</f>
        <v>0</v>
      </c>
      <c r="M67">
        <f ca="1">IFERROR(__xludf.DUMMYFUNCTION("""COMPUTED_VALUE"""),16)</f>
        <v>16</v>
      </c>
      <c r="N67" s="8" t="str">
        <f ca="1">IFERROR(__xludf.DUMMYFUNCTION("""COMPUTED_VALUE"""),"ПО2")</f>
        <v>ПО2</v>
      </c>
    </row>
    <row r="68" spans="1:14" ht="12.45" hidden="1">
      <c r="A68" t="str">
        <f ca="1">IFERROR(__xludf.DUMMYFUNCTION("""COMPUTED_VALUE"""),"III-2-038")</f>
        <v>III-2-038</v>
      </c>
      <c r="B68" t="str">
        <f ca="1">IFERROR(__xludf.DUMMYFUNCTION("""COMPUTED_VALUE"""),"Барашенко")</f>
        <v>Барашенко</v>
      </c>
      <c r="C68" t="str">
        <f ca="1">IFERROR(__xludf.DUMMYFUNCTION("""COMPUTED_VALUE"""),"Тимофей")</f>
        <v>Тимофей</v>
      </c>
      <c r="D68" t="str">
        <f ca="1">IFERROR(__xludf.DUMMYFUNCTION("""COMPUTED_VALUE"""),"Школа Квадривиум")</f>
        <v>Школа Квадривиум</v>
      </c>
      <c r="E68" s="5">
        <f ca="1">IFERROR(__xludf.DUMMYFUNCTION("""COMPUTED_VALUE"""),0)</f>
        <v>0</v>
      </c>
      <c r="F68" s="5">
        <f ca="1">IFERROR(__xludf.DUMMYFUNCTION("""COMPUTED_VALUE"""),4)</f>
        <v>4</v>
      </c>
      <c r="G68" s="5">
        <f ca="1">IFERROR(__xludf.DUMMYFUNCTION("""COMPUTED_VALUE"""),4)</f>
        <v>4</v>
      </c>
      <c r="H68" s="5">
        <f ca="1">IFERROR(__xludf.DUMMYFUNCTION("""COMPUTED_VALUE"""),0)</f>
        <v>0</v>
      </c>
      <c r="I68" s="5">
        <f ca="1">IFERROR(__xludf.DUMMYFUNCTION("""COMPUTED_VALUE"""),5)</f>
        <v>5</v>
      </c>
      <c r="J68" s="5">
        <f ca="1">IFERROR(__xludf.DUMMYFUNCTION("""COMPUTED_VALUE"""),3)</f>
        <v>3</v>
      </c>
      <c r="K68" s="5">
        <f ca="1">IFERROR(__xludf.DUMMYFUNCTION("""COMPUTED_VALUE"""),0)</f>
        <v>0</v>
      </c>
      <c r="L68" s="5">
        <f ca="1">IFERROR(__xludf.DUMMYFUNCTION("""COMPUTED_VALUE"""),0)</f>
        <v>0</v>
      </c>
      <c r="M68">
        <f ca="1">IFERROR(__xludf.DUMMYFUNCTION("""COMPUTED_VALUE"""),16)</f>
        <v>16</v>
      </c>
      <c r="N68" s="8" t="str">
        <f ca="1">IFERROR(__xludf.DUMMYFUNCTION("""COMPUTED_VALUE"""),"ПО2")</f>
        <v>ПО2</v>
      </c>
    </row>
    <row r="69" spans="1:14" ht="12.45" hidden="1">
      <c r="A69" t="str">
        <f ca="1">IFERROR(__xludf.DUMMYFUNCTION("""COMPUTED_VALUE"""),"V-2-376")</f>
        <v>V-2-376</v>
      </c>
      <c r="B69" t="str">
        <f ca="1">IFERROR(__xludf.DUMMYFUNCTION("""COMPUTED_VALUE"""),"Сахаров")</f>
        <v>Сахаров</v>
      </c>
      <c r="C69" t="str">
        <f ca="1">IFERROR(__xludf.DUMMYFUNCTION("""COMPUTED_VALUE"""),"Кирилл")</f>
        <v>Кирилл</v>
      </c>
      <c r="D69" t="str">
        <f ca="1">IFERROR(__xludf.DUMMYFUNCTION("""COMPUTED_VALUE"""),"Школа 26")</f>
        <v>Школа 26</v>
      </c>
      <c r="E69" s="5">
        <f ca="1">IFERROR(__xludf.DUMMYFUNCTION("""COMPUTED_VALUE"""),3)</f>
        <v>3</v>
      </c>
      <c r="F69" s="5">
        <f ca="1">IFERROR(__xludf.DUMMYFUNCTION("""COMPUTED_VALUE"""),4)</f>
        <v>4</v>
      </c>
      <c r="G69" s="5">
        <f ca="1">IFERROR(__xludf.DUMMYFUNCTION("""COMPUTED_VALUE"""),0)</f>
        <v>0</v>
      </c>
      <c r="H69" s="5">
        <f ca="1">IFERROR(__xludf.DUMMYFUNCTION("""COMPUTED_VALUE"""),3)</f>
        <v>3</v>
      </c>
      <c r="I69" s="5">
        <f ca="1">IFERROR(__xludf.DUMMYFUNCTION("""COMPUTED_VALUE"""),3)</f>
        <v>3</v>
      </c>
      <c r="J69" s="5">
        <f ca="1">IFERROR(__xludf.DUMMYFUNCTION("""COMPUTED_VALUE"""),3)</f>
        <v>3</v>
      </c>
      <c r="K69" s="5">
        <f ca="1">IFERROR(__xludf.DUMMYFUNCTION("""COMPUTED_VALUE"""),0)</f>
        <v>0</v>
      </c>
      <c r="L69" s="5">
        <f ca="1">IFERROR(__xludf.DUMMYFUNCTION("""COMPUTED_VALUE"""),0)</f>
        <v>0</v>
      </c>
      <c r="M69">
        <f ca="1">IFERROR(__xludf.DUMMYFUNCTION("""COMPUTED_VALUE"""),16)</f>
        <v>16</v>
      </c>
      <c r="N69" s="8" t="str">
        <f ca="1">IFERROR(__xludf.DUMMYFUNCTION("""COMPUTED_VALUE"""),"ПО2")</f>
        <v>ПО2</v>
      </c>
    </row>
    <row r="70" spans="1:14" ht="12.45" hidden="1">
      <c r="A70" t="str">
        <f ca="1">IFERROR(__xludf.DUMMYFUNCTION("""COMPUTED_VALUE"""),"V-2-424")</f>
        <v>V-2-424</v>
      </c>
      <c r="B70" t="str">
        <f ca="1">IFERROR(__xludf.DUMMYFUNCTION("""COMPUTED_VALUE"""),"Тиктинский")</f>
        <v>Тиктинский</v>
      </c>
      <c r="C70" t="str">
        <f ca="1">IFERROR(__xludf.DUMMYFUNCTION("""COMPUTED_VALUE"""),"Роман")</f>
        <v>Роман</v>
      </c>
      <c r="D70" t="str">
        <f ca="1">IFERROR(__xludf.DUMMYFUNCTION("""COMPUTED_VALUE"""),"Школа Квадривиум")</f>
        <v>Школа Квадривиум</v>
      </c>
      <c r="E70" s="5">
        <f ca="1">IFERROR(__xludf.DUMMYFUNCTION("""COMPUTED_VALUE"""),3)</f>
        <v>3</v>
      </c>
      <c r="F70" s="5">
        <f ca="1">IFERROR(__xludf.DUMMYFUNCTION("""COMPUTED_VALUE"""),4)</f>
        <v>4</v>
      </c>
      <c r="G70" s="5">
        <f ca="1">IFERROR(__xludf.DUMMYFUNCTION("""COMPUTED_VALUE"""),4)</f>
        <v>4</v>
      </c>
      <c r="H70" s="5">
        <f ca="1">IFERROR(__xludf.DUMMYFUNCTION("""COMPUTED_VALUE"""),0)</f>
        <v>0</v>
      </c>
      <c r="I70" s="5">
        <f ca="1">IFERROR(__xludf.DUMMYFUNCTION("""COMPUTED_VALUE"""),3)</f>
        <v>3</v>
      </c>
      <c r="J70" s="5">
        <f ca="1">IFERROR(__xludf.DUMMYFUNCTION("""COMPUTED_VALUE"""),2)</f>
        <v>2</v>
      </c>
      <c r="K70" s="5">
        <f ca="1">IFERROR(__xludf.DUMMYFUNCTION("""COMPUTED_VALUE"""),0)</f>
        <v>0</v>
      </c>
      <c r="L70" s="5">
        <f ca="1">IFERROR(__xludf.DUMMYFUNCTION("""COMPUTED_VALUE"""),0)</f>
        <v>0</v>
      </c>
      <c r="M70">
        <f ca="1">IFERROR(__xludf.DUMMYFUNCTION("""COMPUTED_VALUE"""),16)</f>
        <v>16</v>
      </c>
      <c r="N70" s="8" t="str">
        <f ca="1">IFERROR(__xludf.DUMMYFUNCTION("""COMPUTED_VALUE"""),"ПО2")</f>
        <v>ПО2</v>
      </c>
    </row>
    <row r="71" spans="1:14" ht="12.45" hidden="1">
      <c r="A71" t="str">
        <f ca="1">IFERROR(__xludf.DUMMYFUNCTION("""COMPUTED_VALUE"""),"III-2-011")</f>
        <v>III-2-011</v>
      </c>
      <c r="B71" t="str">
        <f ca="1">IFERROR(__xludf.DUMMYFUNCTION("""COMPUTED_VALUE"""),"Алексеева")</f>
        <v>Алексеева</v>
      </c>
      <c r="C71" t="str">
        <f ca="1">IFERROR(__xludf.DUMMYFUNCTION("""COMPUTED_VALUE"""),"Маргарита")</f>
        <v>Маргарита</v>
      </c>
      <c r="D71" t="str">
        <f ca="1">IFERROR(__xludf.DUMMYFUNCTION("""COMPUTED_VALUE"""),"Школа 237")</f>
        <v>Школа 237</v>
      </c>
      <c r="E71" s="5">
        <f ca="1">IFERROR(__xludf.DUMMYFUNCTION("""COMPUTED_VALUE"""),3)</f>
        <v>3</v>
      </c>
      <c r="F71" s="5">
        <f ca="1">IFERROR(__xludf.DUMMYFUNCTION("""COMPUTED_VALUE"""),4)</f>
        <v>4</v>
      </c>
      <c r="G71" s="5">
        <f ca="1">IFERROR(__xludf.DUMMYFUNCTION("""COMPUTED_VALUE"""),4)</f>
        <v>4</v>
      </c>
      <c r="H71" s="5">
        <f ca="1">IFERROR(__xludf.DUMMYFUNCTION("""COMPUTED_VALUE"""),0)</f>
        <v>0</v>
      </c>
      <c r="I71" s="5">
        <f ca="1">IFERROR(__xludf.DUMMYFUNCTION("""COMPUTED_VALUE"""),5)</f>
        <v>5</v>
      </c>
      <c r="J71" s="5">
        <f ca="1">IFERROR(__xludf.DUMMYFUNCTION("""COMPUTED_VALUE"""),0)</f>
        <v>0</v>
      </c>
      <c r="K71" s="5">
        <f ca="1">IFERROR(__xludf.DUMMYFUNCTION("""COMPUTED_VALUE"""),0)</f>
        <v>0</v>
      </c>
      <c r="L71" s="5">
        <f ca="1">IFERROR(__xludf.DUMMYFUNCTION("""COMPUTED_VALUE"""),0)</f>
        <v>0</v>
      </c>
      <c r="M71">
        <f ca="1">IFERROR(__xludf.DUMMYFUNCTION("""COMPUTED_VALUE"""),16)</f>
        <v>16</v>
      </c>
      <c r="N71" s="8" t="str">
        <f ca="1">IFERROR(__xludf.DUMMYFUNCTION("""COMPUTED_VALUE"""),"ПО2")</f>
        <v>ПО2</v>
      </c>
    </row>
    <row r="72" spans="1:14" ht="12.45" hidden="1">
      <c r="A72" t="str">
        <f ca="1">IFERROR(__xludf.DUMMYFUNCTION("""COMPUTED_VALUE"""),"V-2-422")</f>
        <v>V-2-422</v>
      </c>
      <c r="B72" t="str">
        <f ca="1">IFERROR(__xludf.DUMMYFUNCTION("""COMPUTED_VALUE"""),"Телешов")</f>
        <v>Телешов</v>
      </c>
      <c r="C72" t="str">
        <f ca="1">IFERROR(__xludf.DUMMYFUNCTION("""COMPUTED_VALUE"""),"Василий")</f>
        <v>Василий</v>
      </c>
      <c r="D72" t="str">
        <f ca="1">IFERROR(__xludf.DUMMYFUNCTION("""COMPUTED_VALUE"""),"Школа 497")</f>
        <v>Школа 497</v>
      </c>
      <c r="E72" s="5">
        <f ca="1">IFERROR(__xludf.DUMMYFUNCTION("""COMPUTED_VALUE"""),3)</f>
        <v>3</v>
      </c>
      <c r="F72" s="5">
        <f ca="1">IFERROR(__xludf.DUMMYFUNCTION("""COMPUTED_VALUE"""),4)</f>
        <v>4</v>
      </c>
      <c r="G72" s="5">
        <f ca="1">IFERROR(__xludf.DUMMYFUNCTION("""COMPUTED_VALUE"""),4)</f>
        <v>4</v>
      </c>
      <c r="H72" s="5">
        <f ca="1">IFERROR(__xludf.DUMMYFUNCTION("""COMPUTED_VALUE"""),0)</f>
        <v>0</v>
      </c>
      <c r="I72" s="5">
        <f ca="1">IFERROR(__xludf.DUMMYFUNCTION("""COMPUTED_VALUE"""),5)</f>
        <v>5</v>
      </c>
      <c r="J72" s="5">
        <f ca="1">IFERROR(__xludf.DUMMYFUNCTION("""COMPUTED_VALUE"""),0)</f>
        <v>0</v>
      </c>
      <c r="K72" s="5">
        <f ca="1">IFERROR(__xludf.DUMMYFUNCTION("""COMPUTED_VALUE"""),0)</f>
        <v>0</v>
      </c>
      <c r="L72" s="5">
        <f ca="1">IFERROR(__xludf.DUMMYFUNCTION("""COMPUTED_VALUE"""),0)</f>
        <v>0</v>
      </c>
      <c r="M72">
        <f ca="1">IFERROR(__xludf.DUMMYFUNCTION("""COMPUTED_VALUE"""),16)</f>
        <v>16</v>
      </c>
      <c r="N72" s="8" t="str">
        <f ca="1">IFERROR(__xludf.DUMMYFUNCTION("""COMPUTED_VALUE"""),"ПО2")</f>
        <v>ПО2</v>
      </c>
    </row>
    <row r="73" spans="1:14" ht="12.45" hidden="1">
      <c r="A73" t="str">
        <f ca="1">IFERROR(__xludf.DUMMYFUNCTION("""COMPUTED_VALUE"""),"V-2-337")</f>
        <v>V-2-337</v>
      </c>
      <c r="B73" t="str">
        <f ca="1">IFERROR(__xludf.DUMMYFUNCTION("""COMPUTED_VALUE"""),"Полетаева")</f>
        <v>Полетаева</v>
      </c>
      <c r="C73" t="str">
        <f ca="1">IFERROR(__xludf.DUMMYFUNCTION("""COMPUTED_VALUE"""),"София")</f>
        <v>София</v>
      </c>
      <c r="D73" t="str">
        <f ca="1">IFERROR(__xludf.DUMMYFUNCTION("""COMPUTED_VALUE"""),"Лицей 590")</f>
        <v>Лицей 590</v>
      </c>
      <c r="E73" s="5">
        <f ca="1">IFERROR(__xludf.DUMMYFUNCTION("""COMPUTED_VALUE"""),3)</f>
        <v>3</v>
      </c>
      <c r="F73" s="5">
        <f ca="1">IFERROR(__xludf.DUMMYFUNCTION("""COMPUTED_VALUE"""),1)</f>
        <v>1</v>
      </c>
      <c r="G73" s="5">
        <f ca="1">IFERROR(__xludf.DUMMYFUNCTION("""COMPUTED_VALUE"""),4)</f>
        <v>4</v>
      </c>
      <c r="H73" s="5">
        <f ca="1">IFERROR(__xludf.DUMMYFUNCTION("""COMPUTED_VALUE"""),0)</f>
        <v>0</v>
      </c>
      <c r="I73" s="5">
        <f ca="1">IFERROR(__xludf.DUMMYFUNCTION("""COMPUTED_VALUE"""),0)</f>
        <v>0</v>
      </c>
      <c r="J73" s="5">
        <f ca="1">IFERROR(__xludf.DUMMYFUNCTION("""COMPUTED_VALUE"""),3)</f>
        <v>3</v>
      </c>
      <c r="K73" s="5">
        <f ca="1">IFERROR(__xludf.DUMMYFUNCTION("""COMPUTED_VALUE"""),4)</f>
        <v>4</v>
      </c>
      <c r="L73" s="5">
        <f ca="1">IFERROR(__xludf.DUMMYFUNCTION("""COMPUTED_VALUE"""),0)</f>
        <v>0</v>
      </c>
      <c r="M73">
        <f ca="1">IFERROR(__xludf.DUMMYFUNCTION("""COMPUTED_VALUE"""),15)</f>
        <v>15</v>
      </c>
      <c r="N73" s="8" t="str">
        <f ca="1">IFERROR(__xludf.DUMMYFUNCTION("""COMPUTED_VALUE"""),"ПО2")</f>
        <v>ПО2</v>
      </c>
    </row>
    <row r="74" spans="1:14" ht="12.45" hidden="1">
      <c r="A74" t="str">
        <f ca="1">IFERROR(__xludf.DUMMYFUNCTION("""COMPUTED_VALUE"""),"III-2-174")</f>
        <v>III-2-174</v>
      </c>
      <c r="B74" t="str">
        <f ca="1">IFERROR(__xludf.DUMMYFUNCTION("""COMPUTED_VALUE"""),"Иванов")</f>
        <v>Иванов</v>
      </c>
      <c r="C74" t="str">
        <f ca="1">IFERROR(__xludf.DUMMYFUNCTION("""COMPUTED_VALUE"""),"Виктор")</f>
        <v>Виктор</v>
      </c>
      <c r="D74" t="str">
        <f ca="1">IFERROR(__xludf.DUMMYFUNCTION("""COMPUTED_VALUE"""),"Школа 611")</f>
        <v>Школа 611</v>
      </c>
      <c r="E74" s="5">
        <f ca="1">IFERROR(__xludf.DUMMYFUNCTION("""COMPUTED_VALUE"""),3)</f>
        <v>3</v>
      </c>
      <c r="F74" s="5">
        <f ca="1">IFERROR(__xludf.DUMMYFUNCTION("""COMPUTED_VALUE"""),4)</f>
        <v>4</v>
      </c>
      <c r="G74" s="5">
        <f ca="1">IFERROR(__xludf.DUMMYFUNCTION("""COMPUTED_VALUE"""),0)</f>
        <v>0</v>
      </c>
      <c r="H74" s="5">
        <f ca="1">IFERROR(__xludf.DUMMYFUNCTION("""COMPUTED_VALUE"""),2)</f>
        <v>2</v>
      </c>
      <c r="I74" s="5">
        <f ca="1">IFERROR(__xludf.DUMMYFUNCTION("""COMPUTED_VALUE"""),3)</f>
        <v>3</v>
      </c>
      <c r="J74" s="5">
        <f ca="1">IFERROR(__xludf.DUMMYFUNCTION("""COMPUTED_VALUE"""),0)</f>
        <v>0</v>
      </c>
      <c r="K74" s="5">
        <f ca="1">IFERROR(__xludf.DUMMYFUNCTION("""COMPUTED_VALUE"""),3)</f>
        <v>3</v>
      </c>
      <c r="L74" s="5">
        <f ca="1">IFERROR(__xludf.DUMMYFUNCTION("""COMPUTED_VALUE"""),0)</f>
        <v>0</v>
      </c>
      <c r="M74">
        <f ca="1">IFERROR(__xludf.DUMMYFUNCTION("""COMPUTED_VALUE"""),15)</f>
        <v>15</v>
      </c>
      <c r="N74" s="8" t="str">
        <f ca="1">IFERROR(__xludf.DUMMYFUNCTION("""COMPUTED_VALUE"""),"ПО2")</f>
        <v>ПО2</v>
      </c>
    </row>
    <row r="75" spans="1:14" ht="12.45" hidden="1">
      <c r="A75" t="str">
        <f ca="1">IFERROR(__xludf.DUMMYFUNCTION("""COMPUTED_VALUE"""),"V-2-314")</f>
        <v>V-2-314</v>
      </c>
      <c r="B75" t="str">
        <f ca="1">IFERROR(__xludf.DUMMYFUNCTION("""COMPUTED_VALUE"""),"Никорич")</f>
        <v>Никорич</v>
      </c>
      <c r="C75" t="str">
        <f ca="1">IFERROR(__xludf.DUMMYFUNCTION("""COMPUTED_VALUE"""),"Андрей")</f>
        <v>Андрей</v>
      </c>
      <c r="D75" t="str">
        <f ca="1">IFERROR(__xludf.DUMMYFUNCTION("""COMPUTED_VALUE"""),"Гимназия 586")</f>
        <v>Гимназия 586</v>
      </c>
      <c r="E75" s="5">
        <f ca="1">IFERROR(__xludf.DUMMYFUNCTION("""COMPUTED_VALUE"""),3)</f>
        <v>3</v>
      </c>
      <c r="F75" s="5">
        <f ca="1">IFERROR(__xludf.DUMMYFUNCTION("""COMPUTED_VALUE"""),4)</f>
        <v>4</v>
      </c>
      <c r="G75" s="5">
        <f ca="1">IFERROR(__xludf.DUMMYFUNCTION("""COMPUTED_VALUE"""),0)</f>
        <v>0</v>
      </c>
      <c r="H75" s="5">
        <f ca="1">IFERROR(__xludf.DUMMYFUNCTION("""COMPUTED_VALUE"""),0)</f>
        <v>0</v>
      </c>
      <c r="I75" s="5">
        <f ca="1">IFERROR(__xludf.DUMMYFUNCTION("""COMPUTED_VALUE"""),5)</f>
        <v>5</v>
      </c>
      <c r="J75" s="5">
        <f ca="1">IFERROR(__xludf.DUMMYFUNCTION("""COMPUTED_VALUE"""),3)</f>
        <v>3</v>
      </c>
      <c r="K75" s="5">
        <f ca="1">IFERROR(__xludf.DUMMYFUNCTION("""COMPUTED_VALUE"""),0)</f>
        <v>0</v>
      </c>
      <c r="L75" s="5">
        <f ca="1">IFERROR(__xludf.DUMMYFUNCTION("""COMPUTED_VALUE"""),0)</f>
        <v>0</v>
      </c>
      <c r="M75">
        <f ca="1">IFERROR(__xludf.DUMMYFUNCTION("""COMPUTED_VALUE"""),15)</f>
        <v>15</v>
      </c>
      <c r="N75" s="8" t="str">
        <f ca="1">IFERROR(__xludf.DUMMYFUNCTION("""COMPUTED_VALUE"""),"ПО2")</f>
        <v>ПО2</v>
      </c>
    </row>
    <row r="76" spans="1:14" ht="12.45" hidden="1">
      <c r="A76" t="str">
        <f ca="1">IFERROR(__xludf.DUMMYFUNCTION("""COMPUTED_VALUE"""),"III-2-034")</f>
        <v>III-2-034</v>
      </c>
      <c r="B76" t="str">
        <f ca="1">IFERROR(__xludf.DUMMYFUNCTION("""COMPUTED_VALUE"""),"Бакатович")</f>
        <v>Бакатович</v>
      </c>
      <c r="C76" t="str">
        <f ca="1">IFERROR(__xludf.DUMMYFUNCTION("""COMPUTED_VALUE"""),"Александр")</f>
        <v>Александр</v>
      </c>
      <c r="D76" t="str">
        <f ca="1">IFERROR(__xludf.DUMMYFUNCTION("""COMPUTED_VALUE"""),"Лицей 373")</f>
        <v>Лицей 373</v>
      </c>
      <c r="E76" s="5">
        <f ca="1">IFERROR(__xludf.DUMMYFUNCTION("""COMPUTED_VALUE"""),3)</f>
        <v>3</v>
      </c>
      <c r="F76" s="5">
        <f ca="1">IFERROR(__xludf.DUMMYFUNCTION("""COMPUTED_VALUE"""),4)</f>
        <v>4</v>
      </c>
      <c r="G76" s="5">
        <f ca="1">IFERROR(__xludf.DUMMYFUNCTION("""COMPUTED_VALUE"""),4)</f>
        <v>4</v>
      </c>
      <c r="H76" s="5">
        <f ca="1">IFERROR(__xludf.DUMMYFUNCTION("""COMPUTED_VALUE"""),0)</f>
        <v>0</v>
      </c>
      <c r="I76" s="5">
        <f ca="1">IFERROR(__xludf.DUMMYFUNCTION("""COMPUTED_VALUE"""),1)</f>
        <v>1</v>
      </c>
      <c r="J76" s="5">
        <f ca="1">IFERROR(__xludf.DUMMYFUNCTION("""COMPUTED_VALUE"""),3)</f>
        <v>3</v>
      </c>
      <c r="K76" s="5">
        <f ca="1">IFERROR(__xludf.DUMMYFUNCTION("""COMPUTED_VALUE"""),0)</f>
        <v>0</v>
      </c>
      <c r="L76" s="5">
        <f ca="1">IFERROR(__xludf.DUMMYFUNCTION("""COMPUTED_VALUE"""),0)</f>
        <v>0</v>
      </c>
      <c r="M76">
        <f ca="1">IFERROR(__xludf.DUMMYFUNCTION("""COMPUTED_VALUE"""),15)</f>
        <v>15</v>
      </c>
      <c r="N76" s="8" t="str">
        <f ca="1">IFERROR(__xludf.DUMMYFUNCTION("""COMPUTED_VALUE"""),"ПО2")</f>
        <v>ПО2</v>
      </c>
    </row>
    <row r="77" spans="1:14" ht="12.45" hidden="1">
      <c r="A77" t="str">
        <f ca="1">IFERROR(__xludf.DUMMYFUNCTION("""COMPUTED_VALUE"""),"III-2-026")</f>
        <v>III-2-026</v>
      </c>
      <c r="B77" t="str">
        <f ca="1">IFERROR(__xludf.DUMMYFUNCTION("""COMPUTED_VALUE"""),"Ахметшина")</f>
        <v>Ахметшина</v>
      </c>
      <c r="C77" t="str">
        <f ca="1">IFERROR(__xludf.DUMMYFUNCTION("""COMPUTED_VALUE"""),"Евгения")</f>
        <v>Евгения</v>
      </c>
      <c r="D77" t="str">
        <f ca="1">IFERROR(__xludf.DUMMYFUNCTION("""COMPUTED_VALUE"""),"Школа 407")</f>
        <v>Школа 407</v>
      </c>
      <c r="E77" s="5">
        <f ca="1">IFERROR(__xludf.DUMMYFUNCTION("""COMPUTED_VALUE"""),3)</f>
        <v>3</v>
      </c>
      <c r="F77" s="5">
        <f ca="1">IFERROR(__xludf.DUMMYFUNCTION("""COMPUTED_VALUE"""),0)</f>
        <v>0</v>
      </c>
      <c r="G77" s="5">
        <f ca="1">IFERROR(__xludf.DUMMYFUNCTION("""COMPUTED_VALUE"""),4)</f>
        <v>4</v>
      </c>
      <c r="H77" s="5">
        <f ca="1">IFERROR(__xludf.DUMMYFUNCTION("""COMPUTED_VALUE"""),5)</f>
        <v>5</v>
      </c>
      <c r="I77" s="5">
        <f ca="1">IFERROR(__xludf.DUMMYFUNCTION("""COMPUTED_VALUE"""),0)</f>
        <v>0</v>
      </c>
      <c r="J77" s="5">
        <f ca="1">IFERROR(__xludf.DUMMYFUNCTION("""COMPUTED_VALUE"""),3)</f>
        <v>3</v>
      </c>
      <c r="K77" s="5">
        <f ca="1">IFERROR(__xludf.DUMMYFUNCTION("""COMPUTED_VALUE"""),0)</f>
        <v>0</v>
      </c>
      <c r="L77" s="5">
        <f ca="1">IFERROR(__xludf.DUMMYFUNCTION("""COMPUTED_VALUE"""),0)</f>
        <v>0</v>
      </c>
      <c r="M77">
        <f ca="1">IFERROR(__xludf.DUMMYFUNCTION("""COMPUTED_VALUE"""),15)</f>
        <v>15</v>
      </c>
      <c r="N77" s="8" t="str">
        <f ca="1">IFERROR(__xludf.DUMMYFUNCTION("""COMPUTED_VALUE"""),"ПО2")</f>
        <v>ПО2</v>
      </c>
    </row>
    <row r="78" spans="1:14" ht="12.45" hidden="1">
      <c r="A78" t="str">
        <f ca="1">IFERROR(__xludf.DUMMYFUNCTION("""COMPUTED_VALUE"""),"V-2-384")</f>
        <v>V-2-384</v>
      </c>
      <c r="B78" t="str">
        <f ca="1">IFERROR(__xludf.DUMMYFUNCTION("""COMPUTED_VALUE"""),"Серебряков")</f>
        <v>Серебряков</v>
      </c>
      <c r="C78" t="str">
        <f ca="1">IFERROR(__xludf.DUMMYFUNCTION("""COMPUTED_VALUE"""),"Дмитрий")</f>
        <v>Дмитрий</v>
      </c>
      <c r="D78" t="str">
        <f ca="1">IFERROR(__xludf.DUMMYFUNCTION("""COMPUTED_VALUE"""),"Гимназия 11")</f>
        <v>Гимназия 11</v>
      </c>
      <c r="E78" s="5">
        <f ca="1">IFERROR(__xludf.DUMMYFUNCTION("""COMPUTED_VALUE"""),3)</f>
        <v>3</v>
      </c>
      <c r="F78" s="5">
        <f ca="1">IFERROR(__xludf.DUMMYFUNCTION("""COMPUTED_VALUE"""),4)</f>
        <v>4</v>
      </c>
      <c r="G78" s="5">
        <f ca="1">IFERROR(__xludf.DUMMYFUNCTION("""COMPUTED_VALUE"""),4)</f>
        <v>4</v>
      </c>
      <c r="H78" s="5">
        <f ca="1">IFERROR(__xludf.DUMMYFUNCTION("""COMPUTED_VALUE"""),0)</f>
        <v>0</v>
      </c>
      <c r="I78" s="5">
        <f ca="1">IFERROR(__xludf.DUMMYFUNCTION("""COMPUTED_VALUE"""),2)</f>
        <v>2</v>
      </c>
      <c r="J78" s="5">
        <f ca="1">IFERROR(__xludf.DUMMYFUNCTION("""COMPUTED_VALUE"""),2)</f>
        <v>2</v>
      </c>
      <c r="K78" s="5">
        <f ca="1">IFERROR(__xludf.DUMMYFUNCTION("""COMPUTED_VALUE"""),0)</f>
        <v>0</v>
      </c>
      <c r="L78" s="5">
        <f ca="1">IFERROR(__xludf.DUMMYFUNCTION("""COMPUTED_VALUE"""),0)</f>
        <v>0</v>
      </c>
      <c r="M78">
        <f ca="1">IFERROR(__xludf.DUMMYFUNCTION("""COMPUTED_VALUE"""),15)</f>
        <v>15</v>
      </c>
      <c r="N78" s="8" t="str">
        <f ca="1">IFERROR(__xludf.DUMMYFUNCTION("""COMPUTED_VALUE"""),"ПО2")</f>
        <v>ПО2</v>
      </c>
    </row>
    <row r="79" spans="1:14" ht="12.45" hidden="1">
      <c r="A79" t="str">
        <f ca="1">IFERROR(__xludf.DUMMYFUNCTION("""COMPUTED_VALUE"""),"V-2-435")</f>
        <v>V-2-435</v>
      </c>
      <c r="B79" t="str">
        <f ca="1">IFERROR(__xludf.DUMMYFUNCTION("""COMPUTED_VALUE"""),"Устинова")</f>
        <v>Устинова</v>
      </c>
      <c r="C79" t="str">
        <f ca="1">IFERROR(__xludf.DUMMYFUNCTION("""COMPUTED_VALUE"""),"Дарья")</f>
        <v>Дарья</v>
      </c>
      <c r="D79" t="str">
        <f ca="1">IFERROR(__xludf.DUMMYFUNCTION("""COMPUTED_VALUE"""),"Гимназия 74")</f>
        <v>Гимназия 74</v>
      </c>
      <c r="E79" s="5">
        <f ca="1">IFERROR(__xludf.DUMMYFUNCTION("""COMPUTED_VALUE"""),3)</f>
        <v>3</v>
      </c>
      <c r="F79" s="5">
        <f ca="1">IFERROR(__xludf.DUMMYFUNCTION("""COMPUTED_VALUE"""),0)</f>
        <v>0</v>
      </c>
      <c r="G79" s="5">
        <f ca="1">IFERROR(__xludf.DUMMYFUNCTION("""COMPUTED_VALUE"""),4)</f>
        <v>4</v>
      </c>
      <c r="H79" s="5">
        <f ca="1">IFERROR(__xludf.DUMMYFUNCTION("""COMPUTED_VALUE"""),3)</f>
        <v>3</v>
      </c>
      <c r="I79" s="5">
        <f ca="1">IFERROR(__xludf.DUMMYFUNCTION("""COMPUTED_VALUE"""),5)</f>
        <v>5</v>
      </c>
      <c r="J79" s="5">
        <f ca="1">IFERROR(__xludf.DUMMYFUNCTION("""COMPUTED_VALUE"""),0)</f>
        <v>0</v>
      </c>
      <c r="K79" s="5">
        <f ca="1">IFERROR(__xludf.DUMMYFUNCTION("""COMPUTED_VALUE"""),0)</f>
        <v>0</v>
      </c>
      <c r="L79" s="5">
        <f ca="1">IFERROR(__xludf.DUMMYFUNCTION("""COMPUTED_VALUE"""),0)</f>
        <v>0</v>
      </c>
      <c r="M79">
        <f ca="1">IFERROR(__xludf.DUMMYFUNCTION("""COMPUTED_VALUE"""),15)</f>
        <v>15</v>
      </c>
      <c r="N79" s="8" t="str">
        <f ca="1">IFERROR(__xludf.DUMMYFUNCTION("""COMPUTED_VALUE"""),"ПО2")</f>
        <v>ПО2</v>
      </c>
    </row>
    <row r="80" spans="1:14" ht="12.45" hidden="1">
      <c r="A80" t="str">
        <f ca="1">IFERROR(__xludf.DUMMYFUNCTION("""COMPUTED_VALUE"""),"V-2-401")</f>
        <v>V-2-401</v>
      </c>
      <c r="B80" t="str">
        <f ca="1">IFERROR(__xludf.DUMMYFUNCTION("""COMPUTED_VALUE"""),"Сморыго")</f>
        <v>Сморыго</v>
      </c>
      <c r="C80" t="str">
        <f ca="1">IFERROR(__xludf.DUMMYFUNCTION("""COMPUTED_VALUE"""),"Яна")</f>
        <v>Яна</v>
      </c>
      <c r="D80" t="str">
        <f ca="1">IFERROR(__xludf.DUMMYFUNCTION("""COMPUTED_VALUE"""),"Лицей 369")</f>
        <v>Лицей 369</v>
      </c>
      <c r="E80" s="5">
        <f ca="1">IFERROR(__xludf.DUMMYFUNCTION("""COMPUTED_VALUE"""),3)</f>
        <v>3</v>
      </c>
      <c r="F80" s="5">
        <f ca="1">IFERROR(__xludf.DUMMYFUNCTION("""COMPUTED_VALUE"""),0)</f>
        <v>0</v>
      </c>
      <c r="G80" s="5">
        <f ca="1">IFERROR(__xludf.DUMMYFUNCTION("""COMPUTED_VALUE"""),4)</f>
        <v>4</v>
      </c>
      <c r="H80" s="5">
        <f ca="1">IFERROR(__xludf.DUMMYFUNCTION("""COMPUTED_VALUE"""),3)</f>
        <v>3</v>
      </c>
      <c r="I80" s="5">
        <f ca="1">IFERROR(__xludf.DUMMYFUNCTION("""COMPUTED_VALUE"""),5)</f>
        <v>5</v>
      </c>
      <c r="J80" s="5">
        <f ca="1">IFERROR(__xludf.DUMMYFUNCTION("""COMPUTED_VALUE"""),0)</f>
        <v>0</v>
      </c>
      <c r="K80" s="5">
        <f ca="1">IFERROR(__xludf.DUMMYFUNCTION("""COMPUTED_VALUE"""),0)</f>
        <v>0</v>
      </c>
      <c r="L80" s="5">
        <f ca="1">IFERROR(__xludf.DUMMYFUNCTION("""COMPUTED_VALUE"""),0)</f>
        <v>0</v>
      </c>
      <c r="M80">
        <f ca="1">IFERROR(__xludf.DUMMYFUNCTION("""COMPUTED_VALUE"""),15)</f>
        <v>15</v>
      </c>
      <c r="N80" s="8" t="str">
        <f ca="1">IFERROR(__xludf.DUMMYFUNCTION("""COMPUTED_VALUE"""),"ПО2")</f>
        <v>ПО2</v>
      </c>
    </row>
    <row r="81" spans="1:14" ht="12.45" hidden="1">
      <c r="A81" t="str">
        <f ca="1">IFERROR(__xludf.DUMMYFUNCTION("""COMPUTED_VALUE"""),"V-2-280")</f>
        <v>V-2-280</v>
      </c>
      <c r="B81" t="str">
        <f ca="1">IFERROR(__xludf.DUMMYFUNCTION("""COMPUTED_VALUE"""),"Махров")</f>
        <v>Махров</v>
      </c>
      <c r="C81" t="str">
        <f ca="1">IFERROR(__xludf.DUMMYFUNCTION("""COMPUTED_VALUE"""),"Александр")</f>
        <v>Александр</v>
      </c>
      <c r="D81" t="str">
        <f ca="1">IFERROR(__xludf.DUMMYFUNCTION("""COMPUTED_VALUE"""),"Гимназия 74")</f>
        <v>Гимназия 74</v>
      </c>
      <c r="E81" s="5">
        <f ca="1">IFERROR(__xludf.DUMMYFUNCTION("""COMPUTED_VALUE"""),2)</f>
        <v>2</v>
      </c>
      <c r="F81" s="5">
        <f ca="1">IFERROR(__xludf.DUMMYFUNCTION("""COMPUTED_VALUE"""),4)</f>
        <v>4</v>
      </c>
      <c r="G81" s="5">
        <f ca="1">IFERROR(__xludf.DUMMYFUNCTION("""COMPUTED_VALUE"""),4)</f>
        <v>4</v>
      </c>
      <c r="H81" s="5">
        <f ca="1">IFERROR(__xludf.DUMMYFUNCTION("""COMPUTED_VALUE"""),0)</f>
        <v>0</v>
      </c>
      <c r="I81" s="5">
        <f ca="1">IFERROR(__xludf.DUMMYFUNCTION("""COMPUTED_VALUE"""),5)</f>
        <v>5</v>
      </c>
      <c r="J81" s="5">
        <f ca="1">IFERROR(__xludf.DUMMYFUNCTION("""COMPUTED_VALUE"""),0)</f>
        <v>0</v>
      </c>
      <c r="K81" s="5">
        <f ca="1">IFERROR(__xludf.DUMMYFUNCTION("""COMPUTED_VALUE"""),0)</f>
        <v>0</v>
      </c>
      <c r="L81" s="5">
        <f ca="1">IFERROR(__xludf.DUMMYFUNCTION("""COMPUTED_VALUE"""),0)</f>
        <v>0</v>
      </c>
      <c r="M81">
        <f ca="1">IFERROR(__xludf.DUMMYFUNCTION("""COMPUTED_VALUE"""),15)</f>
        <v>15</v>
      </c>
      <c r="N81" s="8" t="str">
        <f ca="1">IFERROR(__xludf.DUMMYFUNCTION("""COMPUTED_VALUE"""),"ПО2")</f>
        <v>ПО2</v>
      </c>
    </row>
    <row r="82" spans="1:14" ht="12.45" hidden="1">
      <c r="A82" t="str">
        <f ca="1">IFERROR(__xludf.DUMMYFUNCTION("""COMPUTED_VALUE"""),"III-2-205")</f>
        <v>III-2-205</v>
      </c>
      <c r="B82" t="str">
        <f ca="1">IFERROR(__xludf.DUMMYFUNCTION("""COMPUTED_VALUE"""),"Клименко")</f>
        <v>Клименко</v>
      </c>
      <c r="C82" t="str">
        <f ca="1">IFERROR(__xludf.DUMMYFUNCTION("""COMPUTED_VALUE"""),"Алина")</f>
        <v>Алина</v>
      </c>
      <c r="D82" t="str">
        <f ca="1">IFERROR(__xludf.DUMMYFUNCTION("""COMPUTED_VALUE"""),"Школа 641")</f>
        <v>Школа 641</v>
      </c>
      <c r="E82" s="5">
        <f ca="1">IFERROR(__xludf.DUMMYFUNCTION("""COMPUTED_VALUE"""),2)</f>
        <v>2</v>
      </c>
      <c r="F82" s="5">
        <f ca="1">IFERROR(__xludf.DUMMYFUNCTION("""COMPUTED_VALUE"""),4)</f>
        <v>4</v>
      </c>
      <c r="G82" s="5">
        <f ca="1">IFERROR(__xludf.DUMMYFUNCTION("""COMPUTED_VALUE"""),4)</f>
        <v>4</v>
      </c>
      <c r="H82" s="5">
        <f ca="1">IFERROR(__xludf.DUMMYFUNCTION("""COMPUTED_VALUE"""),0)</f>
        <v>0</v>
      </c>
      <c r="I82" s="5">
        <f ca="1">IFERROR(__xludf.DUMMYFUNCTION("""COMPUTED_VALUE"""),5)</f>
        <v>5</v>
      </c>
      <c r="J82" s="5">
        <f ca="1">IFERROR(__xludf.DUMMYFUNCTION("""COMPUTED_VALUE"""),0)</f>
        <v>0</v>
      </c>
      <c r="K82" s="5">
        <f ca="1">IFERROR(__xludf.DUMMYFUNCTION("""COMPUTED_VALUE"""),0)</f>
        <v>0</v>
      </c>
      <c r="L82" s="5">
        <f ca="1">IFERROR(__xludf.DUMMYFUNCTION("""COMPUTED_VALUE"""),0)</f>
        <v>0</v>
      </c>
      <c r="M82">
        <f ca="1">IFERROR(__xludf.DUMMYFUNCTION("""COMPUTED_VALUE"""),15)</f>
        <v>15</v>
      </c>
      <c r="N82" s="8" t="str">
        <f ca="1">IFERROR(__xludf.DUMMYFUNCTION("""COMPUTED_VALUE"""),"ПО2")</f>
        <v>ПО2</v>
      </c>
    </row>
    <row r="83" spans="1:14" ht="12.45" hidden="1">
      <c r="A83" t="str">
        <f ca="1">IFERROR(__xludf.DUMMYFUNCTION("""COMPUTED_VALUE"""),"III-2-142")</f>
        <v>III-2-142</v>
      </c>
      <c r="B83" t="str">
        <f ca="1">IFERROR(__xludf.DUMMYFUNCTION("""COMPUTED_VALUE"""),"Дубовский")</f>
        <v>Дубовский</v>
      </c>
      <c r="C83" t="str">
        <f ca="1">IFERROR(__xludf.DUMMYFUNCTION("""COMPUTED_VALUE"""),"Николай")</f>
        <v>Николай</v>
      </c>
      <c r="D83" t="str">
        <f ca="1">IFERROR(__xludf.DUMMYFUNCTION("""COMPUTED_VALUE"""),"Школа 311")</f>
        <v>Школа 311</v>
      </c>
      <c r="E83" s="5">
        <f ca="1">IFERROR(__xludf.DUMMYFUNCTION("""COMPUTED_VALUE"""),3)</f>
        <v>3</v>
      </c>
      <c r="F83" s="5">
        <f ca="1">IFERROR(__xludf.DUMMYFUNCTION("""COMPUTED_VALUE"""),4)</f>
        <v>4</v>
      </c>
      <c r="G83" s="5">
        <f ca="1">IFERROR(__xludf.DUMMYFUNCTION("""COMPUTED_VALUE"""),4)</f>
        <v>4</v>
      </c>
      <c r="H83" s="5">
        <f ca="1">IFERROR(__xludf.DUMMYFUNCTION("""COMPUTED_VALUE"""),0)</f>
        <v>0</v>
      </c>
      <c r="I83" s="5">
        <f ca="1">IFERROR(__xludf.DUMMYFUNCTION("""COMPUTED_VALUE"""),0)</f>
        <v>0</v>
      </c>
      <c r="J83" s="5">
        <f ca="1">IFERROR(__xludf.DUMMYFUNCTION("""COMPUTED_VALUE"""),3)</f>
        <v>3</v>
      </c>
      <c r="K83" s="5">
        <f ca="1">IFERROR(__xludf.DUMMYFUNCTION("""COMPUTED_VALUE"""),0)</f>
        <v>0</v>
      </c>
      <c r="L83" s="5">
        <f ca="1">IFERROR(__xludf.DUMMYFUNCTION("""COMPUTED_VALUE"""),0)</f>
        <v>0</v>
      </c>
      <c r="M83">
        <f ca="1">IFERROR(__xludf.DUMMYFUNCTION("""COMPUTED_VALUE"""),14)</f>
        <v>14</v>
      </c>
      <c r="N83" s="8" t="str">
        <f ca="1">IFERROR(__xludf.DUMMYFUNCTION("""COMPUTED_VALUE"""),"ПО2")</f>
        <v>ПО2</v>
      </c>
    </row>
    <row r="84" spans="1:14" ht="12.45" hidden="1">
      <c r="A84" t="str">
        <f ca="1">IFERROR(__xludf.DUMMYFUNCTION("""COMPUTED_VALUE"""),"V-2-298")</f>
        <v>V-2-298</v>
      </c>
      <c r="B84" t="str">
        <f ca="1">IFERROR(__xludf.DUMMYFUNCTION("""COMPUTED_VALUE"""),"Музыка")</f>
        <v>Музыка</v>
      </c>
      <c r="C84" t="str">
        <f ca="1">IFERROR(__xludf.DUMMYFUNCTION("""COMPUTED_VALUE"""),"Кира")</f>
        <v>Кира</v>
      </c>
      <c r="D84" t="str">
        <f ca="1">IFERROR(__xludf.DUMMYFUNCTION("""COMPUTED_VALUE"""),"Школа Квадривиум")</f>
        <v>Школа Квадривиум</v>
      </c>
      <c r="E84" s="5">
        <f ca="1">IFERROR(__xludf.DUMMYFUNCTION("""COMPUTED_VALUE"""),3)</f>
        <v>3</v>
      </c>
      <c r="F84" s="5">
        <f ca="1">IFERROR(__xludf.DUMMYFUNCTION("""COMPUTED_VALUE"""),0)</f>
        <v>0</v>
      </c>
      <c r="G84" s="5">
        <f ca="1">IFERROR(__xludf.DUMMYFUNCTION("""COMPUTED_VALUE"""),4)</f>
        <v>4</v>
      </c>
      <c r="H84" s="5">
        <f ca="1">IFERROR(__xludf.DUMMYFUNCTION("""COMPUTED_VALUE"""),0)</f>
        <v>0</v>
      </c>
      <c r="I84" s="5">
        <f ca="1">IFERROR(__xludf.DUMMYFUNCTION("""COMPUTED_VALUE"""),5)</f>
        <v>5</v>
      </c>
      <c r="J84" s="5">
        <f ca="1">IFERROR(__xludf.DUMMYFUNCTION("""COMPUTED_VALUE"""),2)</f>
        <v>2</v>
      </c>
      <c r="K84" s="5">
        <f ca="1">IFERROR(__xludf.DUMMYFUNCTION("""COMPUTED_VALUE"""),0)</f>
        <v>0</v>
      </c>
      <c r="L84" s="5">
        <f ca="1">IFERROR(__xludf.DUMMYFUNCTION("""COMPUTED_VALUE"""),0)</f>
        <v>0</v>
      </c>
      <c r="M84">
        <f ca="1">IFERROR(__xludf.DUMMYFUNCTION("""COMPUTED_VALUE"""),14)</f>
        <v>14</v>
      </c>
      <c r="N84" s="8" t="str">
        <f ca="1">IFERROR(__xludf.DUMMYFUNCTION("""COMPUTED_VALUE"""),"ПО2")</f>
        <v>ПО2</v>
      </c>
    </row>
    <row r="85" spans="1:14" ht="12.45" hidden="1">
      <c r="A85" t="str">
        <f ca="1">IFERROR(__xludf.DUMMYFUNCTION("""COMPUTED_VALUE"""),"V-2-405")</f>
        <v>V-2-405</v>
      </c>
      <c r="B85" t="str">
        <f ca="1">IFERROR(__xludf.DUMMYFUNCTION("""COMPUTED_VALUE"""),"Соколова")</f>
        <v>Соколова</v>
      </c>
      <c r="C85" t="str">
        <f ca="1">IFERROR(__xludf.DUMMYFUNCTION("""COMPUTED_VALUE"""),"Виолетта")</f>
        <v>Виолетта</v>
      </c>
      <c r="D85" t="str">
        <f ca="1">IFERROR(__xludf.DUMMYFUNCTION("""COMPUTED_VALUE"""),"Школа 342")</f>
        <v>Школа 342</v>
      </c>
      <c r="E85" s="5">
        <f ca="1">IFERROR(__xludf.DUMMYFUNCTION("""COMPUTED_VALUE"""),3)</f>
        <v>3</v>
      </c>
      <c r="F85" s="5">
        <f ca="1">IFERROR(__xludf.DUMMYFUNCTION("""COMPUTED_VALUE"""),4)</f>
        <v>4</v>
      </c>
      <c r="G85" s="5">
        <f ca="1">IFERROR(__xludf.DUMMYFUNCTION("""COMPUTED_VALUE"""),0)</f>
        <v>0</v>
      </c>
      <c r="H85" s="5">
        <f ca="1">IFERROR(__xludf.DUMMYFUNCTION("""COMPUTED_VALUE"""),0)</f>
        <v>0</v>
      </c>
      <c r="I85" s="5">
        <f ca="1">IFERROR(__xludf.DUMMYFUNCTION("""COMPUTED_VALUE"""),5)</f>
        <v>5</v>
      </c>
      <c r="J85" s="5">
        <f ca="1">IFERROR(__xludf.DUMMYFUNCTION("""COMPUTED_VALUE"""),2)</f>
        <v>2</v>
      </c>
      <c r="K85" s="5">
        <f ca="1">IFERROR(__xludf.DUMMYFUNCTION("""COMPUTED_VALUE"""),0)</f>
        <v>0</v>
      </c>
      <c r="L85" s="5">
        <f ca="1">IFERROR(__xludf.DUMMYFUNCTION("""COMPUTED_VALUE"""),0)</f>
        <v>0</v>
      </c>
      <c r="M85">
        <f ca="1">IFERROR(__xludf.DUMMYFUNCTION("""COMPUTED_VALUE"""),14)</f>
        <v>14</v>
      </c>
      <c r="N85" s="8" t="str">
        <f ca="1">IFERROR(__xludf.DUMMYFUNCTION("""COMPUTED_VALUE"""),"ПО2")</f>
        <v>ПО2</v>
      </c>
    </row>
    <row r="86" spans="1:14" ht="12.45" hidden="1">
      <c r="A86" t="str">
        <f ca="1">IFERROR(__xludf.DUMMYFUNCTION("""COMPUTED_VALUE"""),"V-2-416")</f>
        <v>V-2-416</v>
      </c>
      <c r="B86" t="str">
        <f ca="1">IFERROR(__xludf.DUMMYFUNCTION("""COMPUTED_VALUE"""),"Струков")</f>
        <v>Струков</v>
      </c>
      <c r="C86" t="str">
        <f ca="1">IFERROR(__xludf.DUMMYFUNCTION("""COMPUTED_VALUE"""),"Михаил")</f>
        <v>Михаил</v>
      </c>
      <c r="D86" t="str">
        <f ca="1">IFERROR(__xludf.DUMMYFUNCTION("""COMPUTED_VALUE"""),"Гимназия 642 «Земля и Вселенная»")</f>
        <v>Гимназия 642 «Земля и Вселенная»</v>
      </c>
      <c r="E86" s="5">
        <f ca="1">IFERROR(__xludf.DUMMYFUNCTION("""COMPUTED_VALUE"""),2)</f>
        <v>2</v>
      </c>
      <c r="F86" s="5">
        <f ca="1">IFERROR(__xludf.DUMMYFUNCTION("""COMPUTED_VALUE"""),4)</f>
        <v>4</v>
      </c>
      <c r="G86" s="5">
        <f ca="1">IFERROR(__xludf.DUMMYFUNCTION("""COMPUTED_VALUE"""),0)</f>
        <v>0</v>
      </c>
      <c r="H86" s="5">
        <f ca="1">IFERROR(__xludf.DUMMYFUNCTION("""COMPUTED_VALUE"""),3)</f>
        <v>3</v>
      </c>
      <c r="I86" s="5">
        <f ca="1">IFERROR(__xludf.DUMMYFUNCTION("""COMPUTED_VALUE"""),5)</f>
        <v>5</v>
      </c>
      <c r="J86" s="5">
        <f ca="1">IFERROR(__xludf.DUMMYFUNCTION("""COMPUTED_VALUE"""),0)</f>
        <v>0</v>
      </c>
      <c r="K86" s="5">
        <f ca="1">IFERROR(__xludf.DUMMYFUNCTION("""COMPUTED_VALUE"""),0)</f>
        <v>0</v>
      </c>
      <c r="L86" s="5">
        <f ca="1">IFERROR(__xludf.DUMMYFUNCTION("""COMPUTED_VALUE"""),0)</f>
        <v>0</v>
      </c>
      <c r="M86">
        <f ca="1">IFERROR(__xludf.DUMMYFUNCTION("""COMPUTED_VALUE"""),14)</f>
        <v>14</v>
      </c>
      <c r="N86" s="8" t="str">
        <f ca="1">IFERROR(__xludf.DUMMYFUNCTION("""COMPUTED_VALUE"""),"ПО2")</f>
        <v>ПО2</v>
      </c>
    </row>
    <row r="87" spans="1:14" ht="12.45" hidden="1">
      <c r="A87" t="str">
        <f ca="1">IFERROR(__xludf.DUMMYFUNCTION("""COMPUTED_VALUE"""),"III-2-063")</f>
        <v>III-2-063</v>
      </c>
      <c r="B87" t="str">
        <f ca="1">IFERROR(__xludf.DUMMYFUNCTION("""COMPUTED_VALUE"""),"Буйлов")</f>
        <v>Буйлов</v>
      </c>
      <c r="C87" t="str">
        <f ca="1">IFERROR(__xludf.DUMMYFUNCTION("""COMPUTED_VALUE"""),"Максим")</f>
        <v>Максим</v>
      </c>
      <c r="D87" t="str">
        <f ca="1">IFERROR(__xludf.DUMMYFUNCTION("""COMPUTED_VALUE"""),"Лицей Паскаль")</f>
        <v>Лицей Паскаль</v>
      </c>
      <c r="E87" s="5">
        <f ca="1">IFERROR(__xludf.DUMMYFUNCTION("""COMPUTED_VALUE"""),3)</f>
        <v>3</v>
      </c>
      <c r="F87" s="5">
        <f ca="1">IFERROR(__xludf.DUMMYFUNCTION("""COMPUTED_VALUE"""),0)</f>
        <v>0</v>
      </c>
      <c r="G87" s="5">
        <f ca="1">IFERROR(__xludf.DUMMYFUNCTION("""COMPUTED_VALUE"""),4)</f>
        <v>4</v>
      </c>
      <c r="H87" s="5">
        <f ca="1">IFERROR(__xludf.DUMMYFUNCTION("""COMPUTED_VALUE"""),2)</f>
        <v>2</v>
      </c>
      <c r="I87" s="5">
        <f ca="1">IFERROR(__xludf.DUMMYFUNCTION("""COMPUTED_VALUE"""),5)</f>
        <v>5</v>
      </c>
      <c r="J87" s="5">
        <f ca="1">IFERROR(__xludf.DUMMYFUNCTION("""COMPUTED_VALUE"""),0)</f>
        <v>0</v>
      </c>
      <c r="K87" s="5">
        <f ca="1">IFERROR(__xludf.DUMMYFUNCTION("""COMPUTED_VALUE"""),0)</f>
        <v>0</v>
      </c>
      <c r="L87" s="5">
        <f ca="1">IFERROR(__xludf.DUMMYFUNCTION("""COMPUTED_VALUE"""),0)</f>
        <v>0</v>
      </c>
      <c r="M87">
        <f ca="1">IFERROR(__xludf.DUMMYFUNCTION("""COMPUTED_VALUE"""),14)</f>
        <v>14</v>
      </c>
      <c r="N87" s="8" t="str">
        <f ca="1">IFERROR(__xludf.DUMMYFUNCTION("""COMPUTED_VALUE"""),"ПО2")</f>
        <v>ПО2</v>
      </c>
    </row>
    <row r="88" spans="1:14" ht="12.45" hidden="1">
      <c r="A88" t="str">
        <f ca="1">IFERROR(__xludf.DUMMYFUNCTION("""COMPUTED_VALUE"""),"III-2-096")</f>
        <v>III-2-096</v>
      </c>
      <c r="B88" t="str">
        <f ca="1">IFERROR(__xludf.DUMMYFUNCTION("""COMPUTED_VALUE"""),"Голубец")</f>
        <v>Голубец</v>
      </c>
      <c r="C88" t="str">
        <f ca="1">IFERROR(__xludf.DUMMYFUNCTION("""COMPUTED_VALUE"""),"Павел")</f>
        <v>Павел</v>
      </c>
      <c r="D88" t="str">
        <f ca="1">IFERROR(__xludf.DUMMYFUNCTION("""COMPUTED_VALUE"""),"Гимназия 642 Земля и Вселенная")</f>
        <v>Гимназия 642 Земля и Вселенная</v>
      </c>
      <c r="E88" s="5">
        <f ca="1">IFERROR(__xludf.DUMMYFUNCTION("""COMPUTED_VALUE"""),3)</f>
        <v>3</v>
      </c>
      <c r="F88" s="5">
        <f ca="1">IFERROR(__xludf.DUMMYFUNCTION("""COMPUTED_VALUE"""),4)</f>
        <v>4</v>
      </c>
      <c r="G88" s="5">
        <f ca="1">IFERROR(__xludf.DUMMYFUNCTION("""COMPUTED_VALUE"""),4)</f>
        <v>4</v>
      </c>
      <c r="H88" s="5">
        <f ca="1">IFERROR(__xludf.DUMMYFUNCTION("""COMPUTED_VALUE"""),0)</f>
        <v>0</v>
      </c>
      <c r="I88" s="5">
        <f ca="1">IFERROR(__xludf.DUMMYFUNCTION("""COMPUTED_VALUE"""),3)</f>
        <v>3</v>
      </c>
      <c r="J88" s="5">
        <f ca="1">IFERROR(__xludf.DUMMYFUNCTION("""COMPUTED_VALUE"""),0)</f>
        <v>0</v>
      </c>
      <c r="K88" s="5">
        <f ca="1">IFERROR(__xludf.DUMMYFUNCTION("""COMPUTED_VALUE"""),0)</f>
        <v>0</v>
      </c>
      <c r="L88" s="5">
        <f ca="1">IFERROR(__xludf.DUMMYFUNCTION("""COMPUTED_VALUE"""),0)</f>
        <v>0</v>
      </c>
      <c r="M88">
        <f ca="1">IFERROR(__xludf.DUMMYFUNCTION("""COMPUTED_VALUE"""),14)</f>
        <v>14</v>
      </c>
      <c r="N88" s="8" t="str">
        <f ca="1">IFERROR(__xludf.DUMMYFUNCTION("""COMPUTED_VALUE"""),"ПО2")</f>
        <v>ПО2</v>
      </c>
    </row>
    <row r="89" spans="1:14" ht="12.45" hidden="1">
      <c r="A89" t="str">
        <f ca="1">IFERROR(__xludf.DUMMYFUNCTION("""COMPUTED_VALUE"""),"III-2-101")</f>
        <v>III-2-101</v>
      </c>
      <c r="B89" t="str">
        <f ca="1">IFERROR(__xludf.DUMMYFUNCTION("""COMPUTED_VALUE"""),"Горн")</f>
        <v>Горн</v>
      </c>
      <c r="C89" t="str">
        <f ca="1">IFERROR(__xludf.DUMMYFUNCTION("""COMPUTED_VALUE"""),"Константин")</f>
        <v>Константин</v>
      </c>
      <c r="D89" t="str">
        <f ca="1">IFERROR(__xludf.DUMMYFUNCTION("""COMPUTED_VALUE"""),"Гимназия 526")</f>
        <v>Гимназия 526</v>
      </c>
      <c r="E89" s="5">
        <f ca="1">IFERROR(__xludf.DUMMYFUNCTION("""COMPUTED_VALUE"""),3)</f>
        <v>3</v>
      </c>
      <c r="F89" s="5">
        <f ca="1">IFERROR(__xludf.DUMMYFUNCTION("""COMPUTED_VALUE"""),4)</f>
        <v>4</v>
      </c>
      <c r="G89" s="5">
        <f ca="1">IFERROR(__xludf.DUMMYFUNCTION("""COMPUTED_VALUE"""),4)</f>
        <v>4</v>
      </c>
      <c r="H89" s="5">
        <f ca="1">IFERROR(__xludf.DUMMYFUNCTION("""COMPUTED_VALUE"""),3)</f>
        <v>3</v>
      </c>
      <c r="I89" s="5">
        <f ca="1">IFERROR(__xludf.DUMMYFUNCTION("""COMPUTED_VALUE"""),0)</f>
        <v>0</v>
      </c>
      <c r="J89" s="5">
        <f ca="1">IFERROR(__xludf.DUMMYFUNCTION("""COMPUTED_VALUE"""),0)</f>
        <v>0</v>
      </c>
      <c r="K89" s="5">
        <f ca="1">IFERROR(__xludf.DUMMYFUNCTION("""COMPUTED_VALUE"""),0)</f>
        <v>0</v>
      </c>
      <c r="L89" s="5">
        <f ca="1">IFERROR(__xludf.DUMMYFUNCTION("""COMPUTED_VALUE"""),0)</f>
        <v>0</v>
      </c>
      <c r="M89">
        <f ca="1">IFERROR(__xludf.DUMMYFUNCTION("""COMPUTED_VALUE"""),14)</f>
        <v>14</v>
      </c>
      <c r="N89" s="8" t="str">
        <f ca="1">IFERROR(__xludf.DUMMYFUNCTION("""COMPUTED_VALUE"""),"ПО2")</f>
        <v>ПО2</v>
      </c>
    </row>
    <row r="90" spans="1:14" ht="12.45" hidden="1">
      <c r="A90" t="str">
        <f ca="1">IFERROR(__xludf.DUMMYFUNCTION("""COMPUTED_VALUE"""),"V-2-439")</f>
        <v>V-2-439</v>
      </c>
      <c r="B90" t="str">
        <f ca="1">IFERROR(__xludf.DUMMYFUNCTION("""COMPUTED_VALUE"""),"Федорова")</f>
        <v>Федорова</v>
      </c>
      <c r="C90" t="str">
        <f ca="1">IFERROR(__xludf.DUMMYFUNCTION("""COMPUTED_VALUE"""),"Варвара")</f>
        <v>Варвара</v>
      </c>
      <c r="D90" t="str">
        <f ca="1">IFERROR(__xludf.DUMMYFUNCTION("""COMPUTED_VALUE"""),"Школа 111")</f>
        <v>Школа 111</v>
      </c>
      <c r="E90" s="5">
        <f ca="1">IFERROR(__xludf.DUMMYFUNCTION("""COMPUTED_VALUE"""),3)</f>
        <v>3</v>
      </c>
      <c r="F90" s="5">
        <f ca="1">IFERROR(__xludf.DUMMYFUNCTION("""COMPUTED_VALUE"""),4)</f>
        <v>4</v>
      </c>
      <c r="G90" s="5">
        <f ca="1">IFERROR(__xludf.DUMMYFUNCTION("""COMPUTED_VALUE"""),4)</f>
        <v>4</v>
      </c>
      <c r="H90" s="5">
        <f ca="1">IFERROR(__xludf.DUMMYFUNCTION("""COMPUTED_VALUE"""),3)</f>
        <v>3</v>
      </c>
      <c r="I90" s="5">
        <f ca="1">IFERROR(__xludf.DUMMYFUNCTION("""COMPUTED_VALUE"""),0)</f>
        <v>0</v>
      </c>
      <c r="J90" s="5">
        <f ca="1">IFERROR(__xludf.DUMMYFUNCTION("""COMPUTED_VALUE"""),0)</f>
        <v>0</v>
      </c>
      <c r="K90" s="5">
        <f ca="1">IFERROR(__xludf.DUMMYFUNCTION("""COMPUTED_VALUE"""),0)</f>
        <v>0</v>
      </c>
      <c r="L90" s="5">
        <f ca="1">IFERROR(__xludf.DUMMYFUNCTION("""COMPUTED_VALUE"""),0)</f>
        <v>0</v>
      </c>
      <c r="M90">
        <f ca="1">IFERROR(__xludf.DUMMYFUNCTION("""COMPUTED_VALUE"""),14)</f>
        <v>14</v>
      </c>
      <c r="N90" s="8" t="str">
        <f ca="1">IFERROR(__xludf.DUMMYFUNCTION("""COMPUTED_VALUE"""),"ПО2")</f>
        <v>ПО2</v>
      </c>
    </row>
    <row r="91" spans="1:14" ht="12.45" hidden="1">
      <c r="A91" t="str">
        <f ca="1">IFERROR(__xludf.DUMMYFUNCTION("""COMPUTED_VALUE"""),"III-2-095")</f>
        <v>III-2-095</v>
      </c>
      <c r="B91" t="str">
        <f ca="1">IFERROR(__xludf.DUMMYFUNCTION("""COMPUTED_VALUE"""),"Головин")</f>
        <v>Головин</v>
      </c>
      <c r="C91" t="str">
        <f ca="1">IFERROR(__xludf.DUMMYFUNCTION("""COMPUTED_VALUE"""),"Вячеслав")</f>
        <v>Вячеслав</v>
      </c>
      <c r="D91" t="str">
        <f ca="1">IFERROR(__xludf.DUMMYFUNCTION("""COMPUTED_VALUE"""),"Школа 292")</f>
        <v>Школа 292</v>
      </c>
      <c r="E91" s="5">
        <f ca="1">IFERROR(__xludf.DUMMYFUNCTION("""COMPUTED_VALUE"""),3)</f>
        <v>3</v>
      </c>
      <c r="F91" s="5">
        <f ca="1">IFERROR(__xludf.DUMMYFUNCTION("""COMPUTED_VALUE"""),4)</f>
        <v>4</v>
      </c>
      <c r="G91" s="5">
        <f ca="1">IFERROR(__xludf.DUMMYFUNCTION("""COMPUTED_VALUE"""),4)</f>
        <v>4</v>
      </c>
      <c r="H91" s="5">
        <f ca="1">IFERROR(__xludf.DUMMYFUNCTION("""COMPUTED_VALUE"""),3)</f>
        <v>3</v>
      </c>
      <c r="I91" s="5">
        <f ca="1">IFERROR(__xludf.DUMMYFUNCTION("""COMPUTED_VALUE"""),0)</f>
        <v>0</v>
      </c>
      <c r="J91" s="5">
        <f ca="1">IFERROR(__xludf.DUMMYFUNCTION("""COMPUTED_VALUE"""),0)</f>
        <v>0</v>
      </c>
      <c r="K91" s="5">
        <f ca="1">IFERROR(__xludf.DUMMYFUNCTION("""COMPUTED_VALUE"""),0)</f>
        <v>0</v>
      </c>
      <c r="L91" s="5">
        <f ca="1">IFERROR(__xludf.DUMMYFUNCTION("""COMPUTED_VALUE"""),0)</f>
        <v>0</v>
      </c>
      <c r="M91">
        <f ca="1">IFERROR(__xludf.DUMMYFUNCTION("""COMPUTED_VALUE"""),14)</f>
        <v>14</v>
      </c>
      <c r="N91" s="8" t="str">
        <f ca="1">IFERROR(__xludf.DUMMYFUNCTION("""COMPUTED_VALUE"""),"ПО2")</f>
        <v>ПО2</v>
      </c>
    </row>
    <row r="92" spans="1:14" ht="12.45" hidden="1">
      <c r="A92" t="str">
        <f ca="1">IFERROR(__xludf.DUMMYFUNCTION("""COMPUTED_VALUE"""),"V-2-449")</f>
        <v>V-2-449</v>
      </c>
      <c r="B92" t="str">
        <f ca="1">IFERROR(__xludf.DUMMYFUNCTION("""COMPUTED_VALUE"""),"Фролов")</f>
        <v>Фролов</v>
      </c>
      <c r="C92" t="str">
        <f ca="1">IFERROR(__xludf.DUMMYFUNCTION("""COMPUTED_VALUE"""),"Денис")</f>
        <v>Денис</v>
      </c>
      <c r="D92" t="str">
        <f ca="1">IFERROR(__xludf.DUMMYFUNCTION("""COMPUTED_VALUE"""),"Школа Монтессори школа Михайловой")</f>
        <v>Школа Монтессори школа Михайловой</v>
      </c>
      <c r="E92" s="5">
        <f ca="1">IFERROR(__xludf.DUMMYFUNCTION("""COMPUTED_VALUE"""),3)</f>
        <v>3</v>
      </c>
      <c r="F92" s="5">
        <f ca="1">IFERROR(__xludf.DUMMYFUNCTION("""COMPUTED_VALUE"""),0)</f>
        <v>0</v>
      </c>
      <c r="G92" s="5">
        <f ca="1">IFERROR(__xludf.DUMMYFUNCTION("""COMPUTED_VALUE"""),4)</f>
        <v>4</v>
      </c>
      <c r="H92" s="5">
        <f ca="1">IFERROR(__xludf.DUMMYFUNCTION("""COMPUTED_VALUE"""),0)</f>
        <v>0</v>
      </c>
      <c r="I92" s="5">
        <f ca="1">IFERROR(__xludf.DUMMYFUNCTION("""COMPUTED_VALUE"""),3)</f>
        <v>3</v>
      </c>
      <c r="J92" s="5">
        <f ca="1">IFERROR(__xludf.DUMMYFUNCTION("""COMPUTED_VALUE"""),0)</f>
        <v>0</v>
      </c>
      <c r="K92" s="5">
        <f ca="1">IFERROR(__xludf.DUMMYFUNCTION("""COMPUTED_VALUE"""),3)</f>
        <v>3</v>
      </c>
      <c r="L92" s="5">
        <f ca="1">IFERROR(__xludf.DUMMYFUNCTION("""COMPUTED_VALUE"""),0)</f>
        <v>0</v>
      </c>
      <c r="M92">
        <f ca="1">IFERROR(__xludf.DUMMYFUNCTION("""COMPUTED_VALUE"""),13)</f>
        <v>13</v>
      </c>
      <c r="N92" s="8" t="str">
        <f ca="1">IFERROR(__xludf.DUMMYFUNCTION("""COMPUTED_VALUE"""),"ПО2")</f>
        <v>ПО2</v>
      </c>
    </row>
    <row r="93" spans="1:14" ht="12.45" hidden="1">
      <c r="A93" t="str">
        <f ca="1">IFERROR(__xludf.DUMMYFUNCTION("""COMPUTED_VALUE"""),"V-2-387")</f>
        <v>V-2-387</v>
      </c>
      <c r="B93" t="str">
        <f ca="1">IFERROR(__xludf.DUMMYFUNCTION("""COMPUTED_VALUE"""),"Силкина")</f>
        <v>Силкина</v>
      </c>
      <c r="C93" t="str">
        <f ca="1">IFERROR(__xludf.DUMMYFUNCTION("""COMPUTED_VALUE"""),"Екатерина")</f>
        <v>Екатерина</v>
      </c>
      <c r="D93" t="str">
        <f ca="1">IFERROR(__xludf.DUMMYFUNCTION("""COMPUTED_VALUE"""),"Лицей 179")</f>
        <v>Лицей 179</v>
      </c>
      <c r="E93" s="5">
        <f ca="1">IFERROR(__xludf.DUMMYFUNCTION("""COMPUTED_VALUE"""),3)</f>
        <v>3</v>
      </c>
      <c r="F93" s="5">
        <f ca="1">IFERROR(__xludf.DUMMYFUNCTION("""COMPUTED_VALUE"""),4)</f>
        <v>4</v>
      </c>
      <c r="G93" s="5">
        <f ca="1">IFERROR(__xludf.DUMMYFUNCTION("""COMPUTED_VALUE"""),4)</f>
        <v>4</v>
      </c>
      <c r="H93" s="5">
        <f ca="1">IFERROR(__xludf.DUMMYFUNCTION("""COMPUTED_VALUE"""),0)</f>
        <v>0</v>
      </c>
      <c r="I93" s="5">
        <f ca="1">IFERROR(__xludf.DUMMYFUNCTION("""COMPUTED_VALUE"""),0)</f>
        <v>0</v>
      </c>
      <c r="J93" s="5">
        <f ca="1">IFERROR(__xludf.DUMMYFUNCTION("""COMPUTED_VALUE"""),0)</f>
        <v>0</v>
      </c>
      <c r="K93" s="5">
        <f ca="1">IFERROR(__xludf.DUMMYFUNCTION("""COMPUTED_VALUE"""),2)</f>
        <v>2</v>
      </c>
      <c r="L93" s="5">
        <f ca="1">IFERROR(__xludf.DUMMYFUNCTION("""COMPUTED_VALUE"""),0)</f>
        <v>0</v>
      </c>
      <c r="M93">
        <f ca="1">IFERROR(__xludf.DUMMYFUNCTION("""COMPUTED_VALUE"""),13)</f>
        <v>13</v>
      </c>
      <c r="N93" s="8" t="str">
        <f ca="1">IFERROR(__xludf.DUMMYFUNCTION("""COMPUTED_VALUE"""),"ПО2")</f>
        <v>ПО2</v>
      </c>
    </row>
    <row r="94" spans="1:14" ht="12.45" hidden="1">
      <c r="A94" t="str">
        <f ca="1">IFERROR(__xludf.DUMMYFUNCTION("""COMPUTED_VALUE"""),"V-2-356")</f>
        <v>V-2-356</v>
      </c>
      <c r="B94" t="str">
        <f ca="1">IFERROR(__xludf.DUMMYFUNCTION("""COMPUTED_VALUE"""),"Риккинен")</f>
        <v>Риккинен</v>
      </c>
      <c r="C94" t="str">
        <f ca="1">IFERROR(__xludf.DUMMYFUNCTION("""COMPUTED_VALUE"""),"Андрей")</f>
        <v>Андрей</v>
      </c>
      <c r="D94" t="str">
        <f ca="1">IFERROR(__xludf.DUMMYFUNCTION("""COMPUTED_VALUE"""),"Школа 641")</f>
        <v>Школа 641</v>
      </c>
      <c r="E94" s="5">
        <f ca="1">IFERROR(__xludf.DUMMYFUNCTION("""COMPUTED_VALUE"""),3)</f>
        <v>3</v>
      </c>
      <c r="F94" s="5">
        <f ca="1">IFERROR(__xludf.DUMMYFUNCTION("""COMPUTED_VALUE"""),1)</f>
        <v>1</v>
      </c>
      <c r="G94" s="5">
        <f ca="1">IFERROR(__xludf.DUMMYFUNCTION("""COMPUTED_VALUE"""),4)</f>
        <v>4</v>
      </c>
      <c r="H94" s="5">
        <f ca="1">IFERROR(__xludf.DUMMYFUNCTION("""COMPUTED_VALUE"""),0)</f>
        <v>0</v>
      </c>
      <c r="I94" s="5">
        <f ca="1">IFERROR(__xludf.DUMMYFUNCTION("""COMPUTED_VALUE"""),2)</f>
        <v>2</v>
      </c>
      <c r="J94" s="5">
        <f ca="1">IFERROR(__xludf.DUMMYFUNCTION("""COMPUTED_VALUE"""),2)</f>
        <v>2</v>
      </c>
      <c r="K94" s="5">
        <f ca="1">IFERROR(__xludf.DUMMYFUNCTION("""COMPUTED_VALUE"""),1)</f>
        <v>1</v>
      </c>
      <c r="L94" s="5">
        <f ca="1">IFERROR(__xludf.DUMMYFUNCTION("""COMPUTED_VALUE"""),0)</f>
        <v>0</v>
      </c>
      <c r="M94">
        <f ca="1">IFERROR(__xludf.DUMMYFUNCTION("""COMPUTED_VALUE"""),13)</f>
        <v>13</v>
      </c>
      <c r="N94" s="8" t="str">
        <f ca="1">IFERROR(__xludf.DUMMYFUNCTION("""COMPUTED_VALUE"""),"ПО2")</f>
        <v>ПО2</v>
      </c>
    </row>
    <row r="95" spans="1:14" ht="12.45" hidden="1">
      <c r="A95" t="str">
        <f ca="1">IFERROR(__xludf.DUMMYFUNCTION("""COMPUTED_VALUE"""),"III-2-216")</f>
        <v>III-2-216</v>
      </c>
      <c r="B95" t="str">
        <f ca="1">IFERROR(__xludf.DUMMYFUNCTION("""COMPUTED_VALUE"""),"Колесник")</f>
        <v>Колесник</v>
      </c>
      <c r="C95" t="str">
        <f ca="1">IFERROR(__xludf.DUMMYFUNCTION("""COMPUTED_VALUE"""),"Михаил")</f>
        <v>Михаил</v>
      </c>
      <c r="D95" t="str">
        <f ca="1">IFERROR(__xludf.DUMMYFUNCTION("""COMPUTED_VALUE"""),"Лицей 369")</f>
        <v>Лицей 369</v>
      </c>
      <c r="E95" s="5">
        <f ca="1">IFERROR(__xludf.DUMMYFUNCTION("""COMPUTED_VALUE"""),2)</f>
        <v>2</v>
      </c>
      <c r="F95" s="5">
        <f ca="1">IFERROR(__xludf.DUMMYFUNCTION("""COMPUTED_VALUE"""),4)</f>
        <v>4</v>
      </c>
      <c r="G95" s="5">
        <f ca="1">IFERROR(__xludf.DUMMYFUNCTION("""COMPUTED_VALUE"""),4)</f>
        <v>4</v>
      </c>
      <c r="H95" s="5">
        <f ca="1">IFERROR(__xludf.DUMMYFUNCTION("""COMPUTED_VALUE"""),2)</f>
        <v>2</v>
      </c>
      <c r="I95" s="5">
        <f ca="1">IFERROR(__xludf.DUMMYFUNCTION("""COMPUTED_VALUE"""),0)</f>
        <v>0</v>
      </c>
      <c r="J95" s="5">
        <f ca="1">IFERROR(__xludf.DUMMYFUNCTION("""COMPUTED_VALUE"""),0)</f>
        <v>0</v>
      </c>
      <c r="K95" s="5">
        <f ca="1">IFERROR(__xludf.DUMMYFUNCTION("""COMPUTED_VALUE"""),1)</f>
        <v>1</v>
      </c>
      <c r="L95" s="5">
        <f ca="1">IFERROR(__xludf.DUMMYFUNCTION("""COMPUTED_VALUE"""),0)</f>
        <v>0</v>
      </c>
      <c r="M95">
        <f ca="1">IFERROR(__xludf.DUMMYFUNCTION("""COMPUTED_VALUE"""),13)</f>
        <v>13</v>
      </c>
      <c r="N95" s="8" t="str">
        <f ca="1">IFERROR(__xludf.DUMMYFUNCTION("""COMPUTED_VALUE"""),"ПО2")</f>
        <v>ПО2</v>
      </c>
    </row>
    <row r="96" spans="1:14" ht="12.45" hidden="1">
      <c r="A96" t="str">
        <f ca="1">IFERROR(__xludf.DUMMYFUNCTION("""COMPUTED_VALUE"""),"III-2-195")</f>
        <v>III-2-195</v>
      </c>
      <c r="B96" t="str">
        <f ca="1">IFERROR(__xludf.DUMMYFUNCTION("""COMPUTED_VALUE"""),"Касаткин")</f>
        <v>Касаткин</v>
      </c>
      <c r="C96" t="str">
        <f ca="1">IFERROR(__xludf.DUMMYFUNCTION("""COMPUTED_VALUE"""),"Иван")</f>
        <v>Иван</v>
      </c>
      <c r="D96" t="str">
        <f ca="1">IFERROR(__xludf.DUMMYFUNCTION("""COMPUTED_VALUE"""),"Гимназия 587")</f>
        <v>Гимназия 587</v>
      </c>
      <c r="E96" s="5">
        <f ca="1">IFERROR(__xludf.DUMMYFUNCTION("""COMPUTED_VALUE"""),3)</f>
        <v>3</v>
      </c>
      <c r="F96" s="5">
        <f ca="1">IFERROR(__xludf.DUMMYFUNCTION("""COMPUTED_VALUE"""),0)</f>
        <v>0</v>
      </c>
      <c r="G96" s="5">
        <f ca="1">IFERROR(__xludf.DUMMYFUNCTION("""COMPUTED_VALUE"""),4)</f>
        <v>4</v>
      </c>
      <c r="H96" s="5">
        <f ca="1">IFERROR(__xludf.DUMMYFUNCTION("""COMPUTED_VALUE"""),0)</f>
        <v>0</v>
      </c>
      <c r="I96" s="5">
        <f ca="1">IFERROR(__xludf.DUMMYFUNCTION("""COMPUTED_VALUE"""),3)</f>
        <v>3</v>
      </c>
      <c r="J96" s="5">
        <f ca="1">IFERROR(__xludf.DUMMYFUNCTION("""COMPUTED_VALUE"""),3)</f>
        <v>3</v>
      </c>
      <c r="K96" s="5">
        <f ca="1">IFERROR(__xludf.DUMMYFUNCTION("""COMPUTED_VALUE"""),0)</f>
        <v>0</v>
      </c>
      <c r="L96" s="5">
        <f ca="1">IFERROR(__xludf.DUMMYFUNCTION("""COMPUTED_VALUE"""),0)</f>
        <v>0</v>
      </c>
      <c r="M96">
        <f ca="1">IFERROR(__xludf.DUMMYFUNCTION("""COMPUTED_VALUE"""),13)</f>
        <v>13</v>
      </c>
      <c r="N96" s="8" t="str">
        <f ca="1">IFERROR(__xludf.DUMMYFUNCTION("""COMPUTED_VALUE"""),"ПО2")</f>
        <v>ПО2</v>
      </c>
    </row>
    <row r="97" spans="1:14" ht="12.45" hidden="1">
      <c r="A97" t="str">
        <f ca="1">IFERROR(__xludf.DUMMYFUNCTION("""COMPUTED_VALUE"""),"V-2-325")</f>
        <v>V-2-325</v>
      </c>
      <c r="B97" t="str">
        <f ca="1">IFERROR(__xludf.DUMMYFUNCTION("""COMPUTED_VALUE"""),"Орлова")</f>
        <v>Орлова</v>
      </c>
      <c r="C97" t="str">
        <f ca="1">IFERROR(__xludf.DUMMYFUNCTION("""COMPUTED_VALUE"""),"Карина")</f>
        <v>Карина</v>
      </c>
      <c r="D97" t="str">
        <f ca="1">IFERROR(__xludf.DUMMYFUNCTION("""COMPUTED_VALUE"""),"Школа 145")</f>
        <v>Школа 145</v>
      </c>
      <c r="E97" s="5">
        <f ca="1">IFERROR(__xludf.DUMMYFUNCTION("""COMPUTED_VALUE"""),3)</f>
        <v>3</v>
      </c>
      <c r="F97" s="5">
        <f ca="1">IFERROR(__xludf.DUMMYFUNCTION("""COMPUTED_VALUE"""),0)</f>
        <v>0</v>
      </c>
      <c r="G97" s="5">
        <f ca="1">IFERROR(__xludf.DUMMYFUNCTION("""COMPUTED_VALUE"""),4)</f>
        <v>4</v>
      </c>
      <c r="H97" s="5">
        <f ca="1">IFERROR(__xludf.DUMMYFUNCTION("""COMPUTED_VALUE"""),3)</f>
        <v>3</v>
      </c>
      <c r="I97" s="5">
        <f ca="1">IFERROR(__xludf.DUMMYFUNCTION("""COMPUTED_VALUE"""),0)</f>
        <v>0</v>
      </c>
      <c r="J97" s="5">
        <f ca="1">IFERROR(__xludf.DUMMYFUNCTION("""COMPUTED_VALUE"""),3)</f>
        <v>3</v>
      </c>
      <c r="K97" s="5">
        <f ca="1">IFERROR(__xludf.DUMMYFUNCTION("""COMPUTED_VALUE"""),0)</f>
        <v>0</v>
      </c>
      <c r="L97" s="5">
        <f ca="1">IFERROR(__xludf.DUMMYFUNCTION("""COMPUTED_VALUE"""),0)</f>
        <v>0</v>
      </c>
      <c r="M97">
        <f ca="1">IFERROR(__xludf.DUMMYFUNCTION("""COMPUTED_VALUE"""),13)</f>
        <v>13</v>
      </c>
      <c r="N97" s="8" t="str">
        <f ca="1">IFERROR(__xludf.DUMMYFUNCTION("""COMPUTED_VALUE"""),"ПО2")</f>
        <v>ПО2</v>
      </c>
    </row>
    <row r="98" spans="1:14" ht="12.45" hidden="1">
      <c r="A98" t="str">
        <f ca="1">IFERROR(__xludf.DUMMYFUNCTION("""COMPUTED_VALUE"""),"V-2-317")</f>
        <v>V-2-317</v>
      </c>
      <c r="B98" t="str">
        <f ca="1">IFERROR(__xludf.DUMMYFUNCTION("""COMPUTED_VALUE"""),"Новикова")</f>
        <v>Новикова</v>
      </c>
      <c r="C98" t="str">
        <f ca="1">IFERROR(__xludf.DUMMYFUNCTION("""COMPUTED_VALUE"""),"Элиза")</f>
        <v>Элиза</v>
      </c>
      <c r="D98" t="str">
        <f ca="1">IFERROR(__xludf.DUMMYFUNCTION("""COMPUTED_VALUE"""),"Школа 297")</f>
        <v>Школа 297</v>
      </c>
      <c r="E98" s="5">
        <f ca="1">IFERROR(__xludf.DUMMYFUNCTION("""COMPUTED_VALUE"""),3)</f>
        <v>3</v>
      </c>
      <c r="F98" s="5">
        <f ca="1">IFERROR(__xludf.DUMMYFUNCTION("""COMPUTED_VALUE"""),4)</f>
        <v>4</v>
      </c>
      <c r="G98" s="5">
        <f ca="1">IFERROR(__xludf.DUMMYFUNCTION("""COMPUTED_VALUE"""),0)</f>
        <v>0</v>
      </c>
      <c r="H98" s="5">
        <f ca="1">IFERROR(__xludf.DUMMYFUNCTION("""COMPUTED_VALUE"""),3)</f>
        <v>3</v>
      </c>
      <c r="I98" s="5">
        <f ca="1">IFERROR(__xludf.DUMMYFUNCTION("""COMPUTED_VALUE"""),0)</f>
        <v>0</v>
      </c>
      <c r="J98" s="5">
        <f ca="1">IFERROR(__xludf.DUMMYFUNCTION("""COMPUTED_VALUE"""),3)</f>
        <v>3</v>
      </c>
      <c r="K98" s="5">
        <f ca="1">IFERROR(__xludf.DUMMYFUNCTION("""COMPUTED_VALUE"""),0)</f>
        <v>0</v>
      </c>
      <c r="L98" s="5">
        <f ca="1">IFERROR(__xludf.DUMMYFUNCTION("""COMPUTED_VALUE"""),0)</f>
        <v>0</v>
      </c>
      <c r="M98">
        <f ca="1">IFERROR(__xludf.DUMMYFUNCTION("""COMPUTED_VALUE"""),13)</f>
        <v>13</v>
      </c>
      <c r="N98" s="8" t="str">
        <f ca="1">IFERROR(__xludf.DUMMYFUNCTION("""COMPUTED_VALUE"""),"ПО2")</f>
        <v>ПО2</v>
      </c>
    </row>
    <row r="99" spans="1:14" ht="12.45" hidden="1">
      <c r="A99" t="str">
        <f ca="1">IFERROR(__xludf.DUMMYFUNCTION("""COMPUTED_VALUE"""),"V-2-446")</f>
        <v>V-2-446</v>
      </c>
      <c r="B99" t="str">
        <f ca="1">IFERROR(__xludf.DUMMYFUNCTION("""COMPUTED_VALUE"""),"Фокайлов")</f>
        <v>Фокайлов</v>
      </c>
      <c r="C99" t="str">
        <f ca="1">IFERROR(__xludf.DUMMYFUNCTION("""COMPUTED_VALUE"""),"Алексей")</f>
        <v>Алексей</v>
      </c>
      <c r="D99" t="str">
        <f ca="1">IFERROR(__xludf.DUMMYFUNCTION("""COMPUTED_VALUE"""),"Лицей 369")</f>
        <v>Лицей 369</v>
      </c>
      <c r="E99" s="5">
        <f ca="1">IFERROR(__xludf.DUMMYFUNCTION("""COMPUTED_VALUE"""),3)</f>
        <v>3</v>
      </c>
      <c r="F99" s="5">
        <f ca="1">IFERROR(__xludf.DUMMYFUNCTION("""COMPUTED_VALUE"""),0)</f>
        <v>0</v>
      </c>
      <c r="G99" s="5">
        <f ca="1">IFERROR(__xludf.DUMMYFUNCTION("""COMPUTED_VALUE"""),4)</f>
        <v>4</v>
      </c>
      <c r="H99" s="5">
        <f ca="1">IFERROR(__xludf.DUMMYFUNCTION("""COMPUTED_VALUE"""),0)</f>
        <v>0</v>
      </c>
      <c r="I99" s="5">
        <f ca="1">IFERROR(__xludf.DUMMYFUNCTION("""COMPUTED_VALUE"""),4)</f>
        <v>4</v>
      </c>
      <c r="J99" s="5">
        <f ca="1">IFERROR(__xludf.DUMMYFUNCTION("""COMPUTED_VALUE"""),2)</f>
        <v>2</v>
      </c>
      <c r="K99" s="5">
        <f ca="1">IFERROR(__xludf.DUMMYFUNCTION("""COMPUTED_VALUE"""),0)</f>
        <v>0</v>
      </c>
      <c r="L99" s="5">
        <f ca="1">IFERROR(__xludf.DUMMYFUNCTION("""COMPUTED_VALUE"""),0)</f>
        <v>0</v>
      </c>
      <c r="M99">
        <f ca="1">IFERROR(__xludf.DUMMYFUNCTION("""COMPUTED_VALUE"""),13)</f>
        <v>13</v>
      </c>
      <c r="N99" s="8" t="str">
        <f ca="1">IFERROR(__xludf.DUMMYFUNCTION("""COMPUTED_VALUE"""),"ПО2")</f>
        <v>ПО2</v>
      </c>
    </row>
    <row r="100" spans="1:14" ht="12.45" hidden="1">
      <c r="A100" t="str">
        <f ca="1">IFERROR(__xludf.DUMMYFUNCTION("""COMPUTED_VALUE"""),"V-2-290")</f>
        <v>V-2-290</v>
      </c>
      <c r="B100" t="str">
        <f ca="1">IFERROR(__xludf.DUMMYFUNCTION("""COMPUTED_VALUE"""),"Мишанова")</f>
        <v>Мишанова</v>
      </c>
      <c r="C100" t="str">
        <f ca="1">IFERROR(__xludf.DUMMYFUNCTION("""COMPUTED_VALUE"""),"Софья")</f>
        <v>Софья</v>
      </c>
      <c r="D100" t="str">
        <f ca="1">IFERROR(__xludf.DUMMYFUNCTION("""COMPUTED_VALUE"""),"Школа 18")</f>
        <v>Школа 18</v>
      </c>
      <c r="E100" s="5">
        <f ca="1">IFERROR(__xludf.DUMMYFUNCTION("""COMPUTED_VALUE"""),1)</f>
        <v>1</v>
      </c>
      <c r="F100" s="5">
        <f ca="1">IFERROR(__xludf.DUMMYFUNCTION("""COMPUTED_VALUE"""),4)</f>
        <v>4</v>
      </c>
      <c r="G100" s="5">
        <f ca="1">IFERROR(__xludf.DUMMYFUNCTION("""COMPUTED_VALUE"""),4)</f>
        <v>4</v>
      </c>
      <c r="H100" s="5">
        <f ca="1">IFERROR(__xludf.DUMMYFUNCTION("""COMPUTED_VALUE"""),0)</f>
        <v>0</v>
      </c>
      <c r="I100" s="5">
        <f ca="1">IFERROR(__xludf.DUMMYFUNCTION("""COMPUTED_VALUE"""),2)</f>
        <v>2</v>
      </c>
      <c r="J100" s="5">
        <f ca="1">IFERROR(__xludf.DUMMYFUNCTION("""COMPUTED_VALUE"""),2)</f>
        <v>2</v>
      </c>
      <c r="K100" s="5">
        <f ca="1">IFERROR(__xludf.DUMMYFUNCTION("""COMPUTED_VALUE"""),0)</f>
        <v>0</v>
      </c>
      <c r="L100" s="5">
        <f ca="1">IFERROR(__xludf.DUMMYFUNCTION("""COMPUTED_VALUE"""),0)</f>
        <v>0</v>
      </c>
      <c r="M100">
        <f ca="1">IFERROR(__xludf.DUMMYFUNCTION("""COMPUTED_VALUE"""),13)</f>
        <v>13</v>
      </c>
      <c r="N100" s="8" t="str">
        <f ca="1">IFERROR(__xludf.DUMMYFUNCTION("""COMPUTED_VALUE"""),"ПО2")</f>
        <v>ПО2</v>
      </c>
    </row>
    <row r="101" spans="1:14" ht="12.45" hidden="1">
      <c r="A101" t="str">
        <f ca="1">IFERROR(__xludf.DUMMYFUNCTION("""COMPUTED_VALUE"""),"III-2-069")</f>
        <v>III-2-069</v>
      </c>
      <c r="B101" t="str">
        <f ca="1">IFERROR(__xludf.DUMMYFUNCTION("""COMPUTED_VALUE"""),"Валин")</f>
        <v>Валин</v>
      </c>
      <c r="C101" t="str">
        <f ca="1">IFERROR(__xludf.DUMMYFUNCTION("""COMPUTED_VALUE"""),"Валерий")</f>
        <v>Валерий</v>
      </c>
      <c r="D101" t="str">
        <f ca="1">IFERROR(__xludf.DUMMYFUNCTION("""COMPUTED_VALUE"""),"Школа 233")</f>
        <v>Школа 233</v>
      </c>
      <c r="E101" s="5">
        <f ca="1">IFERROR(__xludf.DUMMYFUNCTION("""COMPUTED_VALUE"""),3)</f>
        <v>3</v>
      </c>
      <c r="F101" s="5">
        <f ca="1">IFERROR(__xludf.DUMMYFUNCTION("""COMPUTED_VALUE"""),4)</f>
        <v>4</v>
      </c>
      <c r="G101" s="5">
        <f ca="1">IFERROR(__xludf.DUMMYFUNCTION("""COMPUTED_VALUE"""),4)</f>
        <v>4</v>
      </c>
      <c r="H101" s="5">
        <f ca="1">IFERROR(__xludf.DUMMYFUNCTION("""COMPUTED_VALUE"""),0)</f>
        <v>0</v>
      </c>
      <c r="I101" s="5">
        <f ca="1">IFERROR(__xludf.DUMMYFUNCTION("""COMPUTED_VALUE"""),0)</f>
        <v>0</v>
      </c>
      <c r="J101" s="5">
        <f ca="1">IFERROR(__xludf.DUMMYFUNCTION("""COMPUTED_VALUE"""),2)</f>
        <v>2</v>
      </c>
      <c r="K101" s="5">
        <f ca="1">IFERROR(__xludf.DUMMYFUNCTION("""COMPUTED_VALUE"""),0)</f>
        <v>0</v>
      </c>
      <c r="L101" s="5">
        <f ca="1">IFERROR(__xludf.DUMMYFUNCTION("""COMPUTED_VALUE"""),0)</f>
        <v>0</v>
      </c>
      <c r="M101">
        <f ca="1">IFERROR(__xludf.DUMMYFUNCTION("""COMPUTED_VALUE"""),13)</f>
        <v>13</v>
      </c>
      <c r="N101" s="8" t="str">
        <f ca="1">IFERROR(__xludf.DUMMYFUNCTION("""COMPUTED_VALUE"""),"ПО2")</f>
        <v>ПО2</v>
      </c>
    </row>
    <row r="102" spans="1:14" ht="12.45" hidden="1">
      <c r="A102" t="str">
        <f ca="1">IFERROR(__xludf.DUMMYFUNCTION("""COMPUTED_VALUE"""),"III-2-073")</f>
        <v>III-2-073</v>
      </c>
      <c r="B102" t="str">
        <f ca="1">IFERROR(__xludf.DUMMYFUNCTION("""COMPUTED_VALUE"""),"Великонивцева")</f>
        <v>Великонивцева</v>
      </c>
      <c r="C102" t="str">
        <f ca="1">IFERROR(__xludf.DUMMYFUNCTION("""COMPUTED_VALUE"""),"Кристина")</f>
        <v>Кристина</v>
      </c>
      <c r="D102" t="str">
        <f ca="1">IFERROR(__xludf.DUMMYFUNCTION("""COMPUTED_VALUE"""),"Школа 340")</f>
        <v>Школа 340</v>
      </c>
      <c r="E102" s="5">
        <f ca="1">IFERROR(__xludf.DUMMYFUNCTION("""COMPUTED_VALUE"""),3)</f>
        <v>3</v>
      </c>
      <c r="F102" s="5">
        <f ca="1">IFERROR(__xludf.DUMMYFUNCTION("""COMPUTED_VALUE"""),4)</f>
        <v>4</v>
      </c>
      <c r="G102" s="5">
        <f ca="1">IFERROR(__xludf.DUMMYFUNCTION("""COMPUTED_VALUE"""),4)</f>
        <v>4</v>
      </c>
      <c r="H102" s="5">
        <f ca="1">IFERROR(__xludf.DUMMYFUNCTION("""COMPUTED_VALUE"""),0)</f>
        <v>0</v>
      </c>
      <c r="I102" s="5">
        <f ca="1">IFERROR(__xludf.DUMMYFUNCTION("""COMPUTED_VALUE"""),0)</f>
        <v>0</v>
      </c>
      <c r="J102" s="5">
        <f ca="1">IFERROR(__xludf.DUMMYFUNCTION("""COMPUTED_VALUE"""),2)</f>
        <v>2</v>
      </c>
      <c r="K102" s="5">
        <f ca="1">IFERROR(__xludf.DUMMYFUNCTION("""COMPUTED_VALUE"""),0)</f>
        <v>0</v>
      </c>
      <c r="L102" s="5">
        <f ca="1">IFERROR(__xludf.DUMMYFUNCTION("""COMPUTED_VALUE"""),0)</f>
        <v>0</v>
      </c>
      <c r="M102">
        <f ca="1">IFERROR(__xludf.DUMMYFUNCTION("""COMPUTED_VALUE"""),13)</f>
        <v>13</v>
      </c>
      <c r="N102" s="8" t="str">
        <f ca="1">IFERROR(__xludf.DUMMYFUNCTION("""COMPUTED_VALUE"""),"ПО2")</f>
        <v>ПО2</v>
      </c>
    </row>
    <row r="103" spans="1:14" ht="12.45" hidden="1">
      <c r="A103" t="str">
        <f ca="1">IFERROR(__xludf.DUMMYFUNCTION("""COMPUTED_VALUE"""),"V-2-465")</f>
        <v>V-2-465</v>
      </c>
      <c r="B103" t="str">
        <f ca="1">IFERROR(__xludf.DUMMYFUNCTION("""COMPUTED_VALUE"""),"Шипилин")</f>
        <v>Шипилин</v>
      </c>
      <c r="C103" t="str">
        <f ca="1">IFERROR(__xludf.DUMMYFUNCTION("""COMPUTED_VALUE"""),"Николай")</f>
        <v>Николай</v>
      </c>
      <c r="D103" t="str">
        <f ca="1">IFERROR(__xludf.DUMMYFUNCTION("""COMPUTED_VALUE"""),"Гимназия 177")</f>
        <v>Гимназия 177</v>
      </c>
      <c r="E103" s="5">
        <f ca="1">IFERROR(__xludf.DUMMYFUNCTION("""COMPUTED_VALUE"""),3)</f>
        <v>3</v>
      </c>
      <c r="F103" s="5">
        <f ca="1">IFERROR(__xludf.DUMMYFUNCTION("""COMPUTED_VALUE"""),4)</f>
        <v>4</v>
      </c>
      <c r="G103" s="5">
        <f ca="1">IFERROR(__xludf.DUMMYFUNCTION("""COMPUTED_VALUE"""),4)</f>
        <v>4</v>
      </c>
      <c r="H103" s="5">
        <f ca="1">IFERROR(__xludf.DUMMYFUNCTION("""COMPUTED_VALUE"""),0)</f>
        <v>0</v>
      </c>
      <c r="I103" s="5">
        <f ca="1">IFERROR(__xludf.DUMMYFUNCTION("""COMPUTED_VALUE"""),0)</f>
        <v>0</v>
      </c>
      <c r="J103" s="5">
        <f ca="1">IFERROR(__xludf.DUMMYFUNCTION("""COMPUTED_VALUE"""),2)</f>
        <v>2</v>
      </c>
      <c r="K103" s="5">
        <f ca="1">IFERROR(__xludf.DUMMYFUNCTION("""COMPUTED_VALUE"""),0)</f>
        <v>0</v>
      </c>
      <c r="L103" s="5">
        <f ca="1">IFERROR(__xludf.DUMMYFUNCTION("""COMPUTED_VALUE"""),0)</f>
        <v>0</v>
      </c>
      <c r="M103">
        <f ca="1">IFERROR(__xludf.DUMMYFUNCTION("""COMPUTED_VALUE"""),13)</f>
        <v>13</v>
      </c>
      <c r="N103" s="8" t="str">
        <f ca="1">IFERROR(__xludf.DUMMYFUNCTION("""COMPUTED_VALUE"""),"ПО2")</f>
        <v>ПО2</v>
      </c>
    </row>
    <row r="104" spans="1:14" ht="12.45" hidden="1">
      <c r="A104" t="str">
        <f ca="1">IFERROR(__xludf.DUMMYFUNCTION("""COMPUTED_VALUE"""),"III-2-002")</f>
        <v>III-2-002</v>
      </c>
      <c r="B104" t="str">
        <f ca="1">IFERROR(__xludf.DUMMYFUNCTION("""COMPUTED_VALUE"""),"Абдуллаева")</f>
        <v>Абдуллаева</v>
      </c>
      <c r="C104" t="str">
        <f ca="1">IFERROR(__xludf.DUMMYFUNCTION("""COMPUTED_VALUE"""),"Айсель")</f>
        <v>Айсель</v>
      </c>
      <c r="D104" t="str">
        <f ca="1">IFERROR(__xludf.DUMMYFUNCTION("""COMPUTED_VALUE"""),"Лицей 597")</f>
        <v>Лицей 597</v>
      </c>
      <c r="E104" s="5">
        <f ca="1">IFERROR(__xludf.DUMMYFUNCTION("""COMPUTED_VALUE"""),3)</f>
        <v>3</v>
      </c>
      <c r="F104" s="5">
        <f ca="1">IFERROR(__xludf.DUMMYFUNCTION("""COMPUTED_VALUE"""),4)</f>
        <v>4</v>
      </c>
      <c r="G104" s="5">
        <f ca="1">IFERROR(__xludf.DUMMYFUNCTION("""COMPUTED_VALUE"""),4)</f>
        <v>4</v>
      </c>
      <c r="H104" s="5">
        <f ca="1">IFERROR(__xludf.DUMMYFUNCTION("""COMPUTED_VALUE"""),0)</f>
        <v>0</v>
      </c>
      <c r="I104" s="5">
        <f ca="1">IFERROR(__xludf.DUMMYFUNCTION("""COMPUTED_VALUE"""),0)</f>
        <v>0</v>
      </c>
      <c r="J104" s="5">
        <f ca="1">IFERROR(__xludf.DUMMYFUNCTION("""COMPUTED_VALUE"""),2)</f>
        <v>2</v>
      </c>
      <c r="K104" s="5">
        <f ca="1">IFERROR(__xludf.DUMMYFUNCTION("""COMPUTED_VALUE"""),0)</f>
        <v>0</v>
      </c>
      <c r="L104" s="5">
        <f ca="1">IFERROR(__xludf.DUMMYFUNCTION("""COMPUTED_VALUE"""),0)</f>
        <v>0</v>
      </c>
      <c r="M104">
        <f ca="1">IFERROR(__xludf.DUMMYFUNCTION("""COMPUTED_VALUE"""),13)</f>
        <v>13</v>
      </c>
      <c r="N104" s="8" t="str">
        <f ca="1">IFERROR(__xludf.DUMMYFUNCTION("""COMPUTED_VALUE"""),"ПО2")</f>
        <v>ПО2</v>
      </c>
    </row>
    <row r="105" spans="1:14" ht="12.45" hidden="1">
      <c r="A105" t="str">
        <f ca="1">IFERROR(__xludf.DUMMYFUNCTION("""COMPUTED_VALUE"""),"V-2-245")</f>
        <v>V-2-245</v>
      </c>
      <c r="B105" t="str">
        <f ca="1">IFERROR(__xludf.DUMMYFUNCTION("""COMPUTED_VALUE"""),"Лаптев")</f>
        <v>Лаптев</v>
      </c>
      <c r="C105" t="str">
        <f ca="1">IFERROR(__xludf.DUMMYFUNCTION("""COMPUTED_VALUE"""),"Иван")</f>
        <v>Иван</v>
      </c>
      <c r="D105" t="str">
        <f ca="1">IFERROR(__xludf.DUMMYFUNCTION("""COMPUTED_VALUE"""),"Школа 113")</f>
        <v>Школа 113</v>
      </c>
      <c r="E105" s="5">
        <f ca="1">IFERROR(__xludf.DUMMYFUNCTION("""COMPUTED_VALUE"""),3)</f>
        <v>3</v>
      </c>
      <c r="F105" s="5">
        <f ca="1">IFERROR(__xludf.DUMMYFUNCTION("""COMPUTED_VALUE"""),4)</f>
        <v>4</v>
      </c>
      <c r="G105" s="5">
        <f ca="1">IFERROR(__xludf.DUMMYFUNCTION("""COMPUTED_VALUE"""),4)</f>
        <v>4</v>
      </c>
      <c r="H105" s="5">
        <f ca="1">IFERROR(__xludf.DUMMYFUNCTION("""COMPUTED_VALUE"""),0)</f>
        <v>0</v>
      </c>
      <c r="I105" s="5">
        <f ca="1">IFERROR(__xludf.DUMMYFUNCTION("""COMPUTED_VALUE"""),0)</f>
        <v>0</v>
      </c>
      <c r="J105" s="5">
        <f ca="1">IFERROR(__xludf.DUMMYFUNCTION("""COMPUTED_VALUE"""),2)</f>
        <v>2</v>
      </c>
      <c r="K105" s="5">
        <f ca="1">IFERROR(__xludf.DUMMYFUNCTION("""COMPUTED_VALUE"""),0)</f>
        <v>0</v>
      </c>
      <c r="L105" s="5">
        <f ca="1">IFERROR(__xludf.DUMMYFUNCTION("""COMPUTED_VALUE"""),0)</f>
        <v>0</v>
      </c>
      <c r="M105">
        <f ca="1">IFERROR(__xludf.DUMMYFUNCTION("""COMPUTED_VALUE"""),13)</f>
        <v>13</v>
      </c>
      <c r="N105" s="8" t="str">
        <f ca="1">IFERROR(__xludf.DUMMYFUNCTION("""COMPUTED_VALUE"""),"ПО2")</f>
        <v>ПО2</v>
      </c>
    </row>
    <row r="106" spans="1:14" ht="12.45" hidden="1">
      <c r="A106" t="str">
        <f ca="1">IFERROR(__xludf.DUMMYFUNCTION("""COMPUTED_VALUE"""),"III-2-083")</f>
        <v>III-2-083</v>
      </c>
      <c r="B106" t="str">
        <f ca="1">IFERROR(__xludf.DUMMYFUNCTION("""COMPUTED_VALUE"""),"Воронцов")</f>
        <v>Воронцов</v>
      </c>
      <c r="C106" t="str">
        <f ca="1">IFERROR(__xludf.DUMMYFUNCTION("""COMPUTED_VALUE"""),"Евгений")</f>
        <v>Евгений</v>
      </c>
      <c r="D106" t="str">
        <f ca="1">IFERROR(__xludf.DUMMYFUNCTION("""COMPUTED_VALUE"""),"Лицей 179")</f>
        <v>Лицей 179</v>
      </c>
      <c r="E106" s="5">
        <f ca="1">IFERROR(__xludf.DUMMYFUNCTION("""COMPUTED_VALUE"""),3)</f>
        <v>3</v>
      </c>
      <c r="F106" s="5">
        <f ca="1">IFERROR(__xludf.DUMMYFUNCTION("""COMPUTED_VALUE"""),1)</f>
        <v>1</v>
      </c>
      <c r="G106" s="5">
        <f ca="1">IFERROR(__xludf.DUMMYFUNCTION("""COMPUTED_VALUE"""),4)</f>
        <v>4</v>
      </c>
      <c r="H106" s="5">
        <f ca="1">IFERROR(__xludf.DUMMYFUNCTION("""COMPUTED_VALUE"""),0)</f>
        <v>0</v>
      </c>
      <c r="I106" s="5">
        <f ca="1">IFERROR(__xludf.DUMMYFUNCTION("""COMPUTED_VALUE"""),5)</f>
        <v>5</v>
      </c>
      <c r="J106" s="5">
        <f ca="1">IFERROR(__xludf.DUMMYFUNCTION("""COMPUTED_VALUE"""),0)</f>
        <v>0</v>
      </c>
      <c r="K106" s="5">
        <f ca="1">IFERROR(__xludf.DUMMYFUNCTION("""COMPUTED_VALUE"""),0)</f>
        <v>0</v>
      </c>
      <c r="L106" s="5">
        <f ca="1">IFERROR(__xludf.DUMMYFUNCTION("""COMPUTED_VALUE"""),0)</f>
        <v>0</v>
      </c>
      <c r="M106">
        <f ca="1">IFERROR(__xludf.DUMMYFUNCTION("""COMPUTED_VALUE"""),13)</f>
        <v>13</v>
      </c>
      <c r="N106" s="8" t="str">
        <f ca="1">IFERROR(__xludf.DUMMYFUNCTION("""COMPUTED_VALUE"""),"ПО2")</f>
        <v>ПО2</v>
      </c>
    </row>
    <row r="107" spans="1:14" ht="12.45" hidden="1">
      <c r="A107" t="str">
        <f ca="1">IFERROR(__xludf.DUMMYFUNCTION("""COMPUTED_VALUE"""),"III-2-228")</f>
        <v>III-2-228</v>
      </c>
      <c r="B107" t="str">
        <f ca="1">IFERROR(__xludf.DUMMYFUNCTION("""COMPUTED_VALUE"""),"Крупенкин")</f>
        <v>Крупенкин</v>
      </c>
      <c r="C107" t="str">
        <f ca="1">IFERROR(__xludf.DUMMYFUNCTION("""COMPUTED_VALUE"""),"Радимир")</f>
        <v>Радимир</v>
      </c>
      <c r="D107" t="str">
        <f ca="1">IFERROR(__xludf.DUMMYFUNCTION("""COMPUTED_VALUE"""),"Школа 112")</f>
        <v>Школа 112</v>
      </c>
      <c r="E107" s="5">
        <f ca="1">IFERROR(__xludf.DUMMYFUNCTION("""COMPUTED_VALUE"""),0)</f>
        <v>0</v>
      </c>
      <c r="F107" s="5">
        <f ca="1">IFERROR(__xludf.DUMMYFUNCTION("""COMPUTED_VALUE"""),4)</f>
        <v>4</v>
      </c>
      <c r="G107" s="5">
        <f ca="1">IFERROR(__xludf.DUMMYFUNCTION("""COMPUTED_VALUE"""),4)</f>
        <v>4</v>
      </c>
      <c r="H107" s="5">
        <f ca="1">IFERROR(__xludf.DUMMYFUNCTION("""COMPUTED_VALUE"""),0)</f>
        <v>0</v>
      </c>
      <c r="I107" s="5">
        <f ca="1">IFERROR(__xludf.DUMMYFUNCTION("""COMPUTED_VALUE"""),5)</f>
        <v>5</v>
      </c>
      <c r="J107" s="5">
        <f ca="1">IFERROR(__xludf.DUMMYFUNCTION("""COMPUTED_VALUE"""),0)</f>
        <v>0</v>
      </c>
      <c r="K107" s="5">
        <f ca="1">IFERROR(__xludf.DUMMYFUNCTION("""COMPUTED_VALUE"""),0)</f>
        <v>0</v>
      </c>
      <c r="L107" s="5">
        <f ca="1">IFERROR(__xludf.DUMMYFUNCTION("""COMPUTED_VALUE"""),0)</f>
        <v>0</v>
      </c>
      <c r="M107">
        <f ca="1">IFERROR(__xludf.DUMMYFUNCTION("""COMPUTED_VALUE"""),13)</f>
        <v>13</v>
      </c>
      <c r="N107" s="8" t="str">
        <f ca="1">IFERROR(__xludf.DUMMYFUNCTION("""COMPUTED_VALUE"""),"ПО2")</f>
        <v>ПО2</v>
      </c>
    </row>
    <row r="108" spans="1:14" ht="12.45" hidden="1">
      <c r="A108" t="str">
        <f ca="1">IFERROR(__xludf.DUMMYFUNCTION("""COMPUTED_VALUE"""),"III-2-089")</f>
        <v>III-2-089</v>
      </c>
      <c r="B108" t="str">
        <f ca="1">IFERROR(__xludf.DUMMYFUNCTION("""COMPUTED_VALUE"""),"Гармель")</f>
        <v>Гармель</v>
      </c>
      <c r="C108" t="str">
        <f ca="1">IFERROR(__xludf.DUMMYFUNCTION("""COMPUTED_VALUE"""),"Егор")</f>
        <v>Егор</v>
      </c>
      <c r="D108" t="str">
        <f ca="1">IFERROR(__xludf.DUMMYFUNCTION("""COMPUTED_VALUE"""),"Гимназия 171")</f>
        <v>Гимназия 171</v>
      </c>
      <c r="E108" s="5">
        <f ca="1">IFERROR(__xludf.DUMMYFUNCTION("""COMPUTED_VALUE"""),3)</f>
        <v>3</v>
      </c>
      <c r="F108" s="5">
        <f ca="1">IFERROR(__xludf.DUMMYFUNCTION("""COMPUTED_VALUE"""),4)</f>
        <v>4</v>
      </c>
      <c r="G108" s="5">
        <f ca="1">IFERROR(__xludf.DUMMYFUNCTION("""COMPUTED_VALUE"""),4)</f>
        <v>4</v>
      </c>
      <c r="H108" s="5">
        <f ca="1">IFERROR(__xludf.DUMMYFUNCTION("""COMPUTED_VALUE"""),0)</f>
        <v>0</v>
      </c>
      <c r="I108" s="5">
        <f ca="1">IFERROR(__xludf.DUMMYFUNCTION("""COMPUTED_VALUE"""),2)</f>
        <v>2</v>
      </c>
      <c r="J108" s="5">
        <f ca="1">IFERROR(__xludf.DUMMYFUNCTION("""COMPUTED_VALUE"""),0)</f>
        <v>0</v>
      </c>
      <c r="K108" s="5">
        <f ca="1">IFERROR(__xludf.DUMMYFUNCTION("""COMPUTED_VALUE"""),0)</f>
        <v>0</v>
      </c>
      <c r="L108" s="5">
        <f ca="1">IFERROR(__xludf.DUMMYFUNCTION("""COMPUTED_VALUE"""),0)</f>
        <v>0</v>
      </c>
      <c r="M108">
        <f ca="1">IFERROR(__xludf.DUMMYFUNCTION("""COMPUTED_VALUE"""),13)</f>
        <v>13</v>
      </c>
      <c r="N108" s="8" t="str">
        <f ca="1">IFERROR(__xludf.DUMMYFUNCTION("""COMPUTED_VALUE"""),"ПО2")</f>
        <v>ПО2</v>
      </c>
    </row>
    <row r="109" spans="1:14" ht="12.45" hidden="1">
      <c r="A109" t="str">
        <f ca="1">IFERROR(__xludf.DUMMYFUNCTION("""COMPUTED_VALUE"""),"III-2-032")</f>
        <v>III-2-032</v>
      </c>
      <c r="B109" t="str">
        <f ca="1">IFERROR(__xludf.DUMMYFUNCTION("""COMPUTED_VALUE"""),"Баделина")</f>
        <v>Баделина</v>
      </c>
      <c r="C109" t="str">
        <f ca="1">IFERROR(__xludf.DUMMYFUNCTION("""COMPUTED_VALUE"""),"Ксения")</f>
        <v>Ксения</v>
      </c>
      <c r="D109" t="str">
        <f ca="1">IFERROR(__xludf.DUMMYFUNCTION("""COMPUTED_VALUE"""),"Школа 598")</f>
        <v>Школа 598</v>
      </c>
      <c r="E109" s="5">
        <f ca="1">IFERROR(__xludf.DUMMYFUNCTION("""COMPUTED_VALUE"""),3)</f>
        <v>3</v>
      </c>
      <c r="F109" s="5">
        <f ca="1">IFERROR(__xludf.DUMMYFUNCTION("""COMPUTED_VALUE"""),4)</f>
        <v>4</v>
      </c>
      <c r="G109" s="5">
        <f ca="1">IFERROR(__xludf.DUMMYFUNCTION("""COMPUTED_VALUE"""),4)</f>
        <v>4</v>
      </c>
      <c r="H109" s="5">
        <f ca="1">IFERROR(__xludf.DUMMYFUNCTION("""COMPUTED_VALUE"""),1)</f>
        <v>1</v>
      </c>
      <c r="I109" s="5">
        <f ca="1">IFERROR(__xludf.DUMMYFUNCTION("""COMPUTED_VALUE"""),1)</f>
        <v>1</v>
      </c>
      <c r="J109" s="5">
        <f ca="1">IFERROR(__xludf.DUMMYFUNCTION("""COMPUTED_VALUE"""),0)</f>
        <v>0</v>
      </c>
      <c r="K109" s="5">
        <f ca="1">IFERROR(__xludf.DUMMYFUNCTION("""COMPUTED_VALUE"""),0)</f>
        <v>0</v>
      </c>
      <c r="L109" s="5">
        <f ca="1">IFERROR(__xludf.DUMMYFUNCTION("""COMPUTED_VALUE"""),0)</f>
        <v>0</v>
      </c>
      <c r="M109">
        <f ca="1">IFERROR(__xludf.DUMMYFUNCTION("""COMPUTED_VALUE"""),13)</f>
        <v>13</v>
      </c>
      <c r="N109" s="8" t="str">
        <f ca="1">IFERROR(__xludf.DUMMYFUNCTION("""COMPUTED_VALUE"""),"ПО2")</f>
        <v>ПО2</v>
      </c>
    </row>
    <row r="110" spans="1:14" ht="12.45" hidden="1">
      <c r="A110" t="str">
        <f ca="1">IFERROR(__xludf.DUMMYFUNCTION("""COMPUTED_VALUE"""),"III-2-146")</f>
        <v>III-2-146</v>
      </c>
      <c r="B110" t="str">
        <f ca="1">IFERROR(__xludf.DUMMYFUNCTION("""COMPUTED_VALUE"""),"Евдокимова")</f>
        <v>Евдокимова</v>
      </c>
      <c r="C110" t="str">
        <f ca="1">IFERROR(__xludf.DUMMYFUNCTION("""COMPUTED_VALUE"""),"Полина")</f>
        <v>Полина</v>
      </c>
      <c r="D110" t="str">
        <f ca="1">IFERROR(__xludf.DUMMYFUNCTION("""COMPUTED_VALUE"""),"Лицей 419")</f>
        <v>Лицей 419</v>
      </c>
      <c r="E110" s="5">
        <f ca="1">IFERROR(__xludf.DUMMYFUNCTION("""COMPUTED_VALUE"""),2)</f>
        <v>2</v>
      </c>
      <c r="F110" s="5">
        <f ca="1">IFERROR(__xludf.DUMMYFUNCTION("""COMPUTED_VALUE"""),4)</f>
        <v>4</v>
      </c>
      <c r="G110" s="5">
        <f ca="1">IFERROR(__xludf.DUMMYFUNCTION("""COMPUTED_VALUE"""),4)</f>
        <v>4</v>
      </c>
      <c r="H110" s="5">
        <f ca="1">IFERROR(__xludf.DUMMYFUNCTION("""COMPUTED_VALUE"""),3)</f>
        <v>3</v>
      </c>
      <c r="I110" s="5">
        <f ca="1">IFERROR(__xludf.DUMMYFUNCTION("""COMPUTED_VALUE"""),0)</f>
        <v>0</v>
      </c>
      <c r="J110" s="5">
        <f ca="1">IFERROR(__xludf.DUMMYFUNCTION("""COMPUTED_VALUE"""),0)</f>
        <v>0</v>
      </c>
      <c r="K110" s="5">
        <f ca="1">IFERROR(__xludf.DUMMYFUNCTION("""COMPUTED_VALUE"""),0)</f>
        <v>0</v>
      </c>
      <c r="L110" s="5">
        <f ca="1">IFERROR(__xludf.DUMMYFUNCTION("""COMPUTED_VALUE"""),0)</f>
        <v>0</v>
      </c>
      <c r="M110">
        <f ca="1">IFERROR(__xludf.DUMMYFUNCTION("""COMPUTED_VALUE"""),13)</f>
        <v>13</v>
      </c>
      <c r="N110" s="8" t="str">
        <f ca="1">IFERROR(__xludf.DUMMYFUNCTION("""COMPUTED_VALUE"""),"ПО2")</f>
        <v>ПО2</v>
      </c>
    </row>
    <row r="111" spans="1:14" ht="12.45" hidden="1">
      <c r="A111" t="str">
        <f ca="1">IFERROR(__xludf.DUMMYFUNCTION("""COMPUTED_VALUE"""),"III-2-224")</f>
        <v>III-2-224</v>
      </c>
      <c r="B111" t="str">
        <f ca="1">IFERROR(__xludf.DUMMYFUNCTION("""COMPUTED_VALUE"""),"Коршунова")</f>
        <v>Коршунова</v>
      </c>
      <c r="C111" t="str">
        <f ca="1">IFERROR(__xludf.DUMMYFUNCTION("""COMPUTED_VALUE"""),"Тамара")</f>
        <v>Тамара</v>
      </c>
      <c r="D111" t="str">
        <f ca="1">IFERROR(__xludf.DUMMYFUNCTION("""COMPUTED_VALUE"""),"Школа 655")</f>
        <v>Школа 655</v>
      </c>
      <c r="E111" s="5">
        <f ca="1">IFERROR(__xludf.DUMMYFUNCTION("""COMPUTED_VALUE"""),3)</f>
        <v>3</v>
      </c>
      <c r="F111" s="5">
        <f ca="1">IFERROR(__xludf.DUMMYFUNCTION("""COMPUTED_VALUE"""),4)</f>
        <v>4</v>
      </c>
      <c r="G111" s="5">
        <f ca="1">IFERROR(__xludf.DUMMYFUNCTION("""COMPUTED_VALUE"""),4)</f>
        <v>4</v>
      </c>
      <c r="H111" s="5">
        <f ca="1">IFERROR(__xludf.DUMMYFUNCTION("""COMPUTED_VALUE"""),2)</f>
        <v>2</v>
      </c>
      <c r="I111" s="5">
        <f ca="1">IFERROR(__xludf.DUMMYFUNCTION("""COMPUTED_VALUE"""),0)</f>
        <v>0</v>
      </c>
      <c r="J111" s="5">
        <f ca="1">IFERROR(__xludf.DUMMYFUNCTION("""COMPUTED_VALUE"""),0)</f>
        <v>0</v>
      </c>
      <c r="K111" s="5">
        <f ca="1">IFERROR(__xludf.DUMMYFUNCTION("""COMPUTED_VALUE"""),0)</f>
        <v>0</v>
      </c>
      <c r="L111" s="5">
        <f ca="1">IFERROR(__xludf.DUMMYFUNCTION("""COMPUTED_VALUE"""),0)</f>
        <v>0</v>
      </c>
      <c r="M111">
        <f ca="1">IFERROR(__xludf.DUMMYFUNCTION("""COMPUTED_VALUE"""),13)</f>
        <v>13</v>
      </c>
      <c r="N111" s="8" t="str">
        <f ca="1">IFERROR(__xludf.DUMMYFUNCTION("""COMPUTED_VALUE"""),"ПО2")</f>
        <v>ПО2</v>
      </c>
    </row>
    <row r="112" spans="1:14" ht="12.45" hidden="1">
      <c r="A112" t="str">
        <f ca="1">IFERROR(__xludf.DUMMYFUNCTION("""COMPUTED_VALUE"""),"V-2-283")</f>
        <v>V-2-283</v>
      </c>
      <c r="B112" t="str">
        <f ca="1">IFERROR(__xludf.DUMMYFUNCTION("""COMPUTED_VALUE"""),"Медведева")</f>
        <v>Медведева</v>
      </c>
      <c r="C112" t="str">
        <f ca="1">IFERROR(__xludf.DUMMYFUNCTION("""COMPUTED_VALUE"""),"Мария")</f>
        <v>Мария</v>
      </c>
      <c r="D112" t="str">
        <f ca="1">IFERROR(__xludf.DUMMYFUNCTION("""COMPUTED_VALUE"""),"Лицей 101")</f>
        <v>Лицей 101</v>
      </c>
      <c r="E112" s="5">
        <f ca="1">IFERROR(__xludf.DUMMYFUNCTION("""COMPUTED_VALUE"""),3)</f>
        <v>3</v>
      </c>
      <c r="F112" s="5">
        <f ca="1">IFERROR(__xludf.DUMMYFUNCTION("""COMPUTED_VALUE"""),4)</f>
        <v>4</v>
      </c>
      <c r="G112" s="5">
        <f ca="1">IFERROR(__xludf.DUMMYFUNCTION("""COMPUTED_VALUE"""),4)</f>
        <v>4</v>
      </c>
      <c r="H112" s="5">
        <f ca="1">IFERROR(__xludf.DUMMYFUNCTION("""COMPUTED_VALUE"""),2)</f>
        <v>2</v>
      </c>
      <c r="I112" s="5">
        <f ca="1">IFERROR(__xludf.DUMMYFUNCTION("""COMPUTED_VALUE"""),0)</f>
        <v>0</v>
      </c>
      <c r="J112" s="5">
        <f ca="1">IFERROR(__xludf.DUMMYFUNCTION("""COMPUTED_VALUE"""),0)</f>
        <v>0</v>
      </c>
      <c r="K112" s="5">
        <f ca="1">IFERROR(__xludf.DUMMYFUNCTION("""COMPUTED_VALUE"""),0)</f>
        <v>0</v>
      </c>
      <c r="L112" s="5">
        <f ca="1">IFERROR(__xludf.DUMMYFUNCTION("""COMPUTED_VALUE"""),0)</f>
        <v>0</v>
      </c>
      <c r="M112">
        <f ca="1">IFERROR(__xludf.DUMMYFUNCTION("""COMPUTED_VALUE"""),13)</f>
        <v>13</v>
      </c>
      <c r="N112" s="8" t="str">
        <f ca="1">IFERROR(__xludf.DUMMYFUNCTION("""COMPUTED_VALUE"""),"ПО2")</f>
        <v>ПО2</v>
      </c>
    </row>
    <row r="113" spans="1:14" ht="12.45" hidden="1">
      <c r="A113" t="str">
        <f ca="1">IFERROR(__xludf.DUMMYFUNCTION("""COMPUTED_VALUE"""),"V-2-348")</f>
        <v>V-2-348</v>
      </c>
      <c r="B113" t="str">
        <f ca="1">IFERROR(__xludf.DUMMYFUNCTION("""COMPUTED_VALUE"""),"Потапова")</f>
        <v>Потапова</v>
      </c>
      <c r="C113" t="str">
        <f ca="1">IFERROR(__xludf.DUMMYFUNCTION("""COMPUTED_VALUE"""),"Алеся")</f>
        <v>Алеся</v>
      </c>
      <c r="D113" t="str">
        <f ca="1">IFERROR(__xludf.DUMMYFUNCTION("""COMPUTED_VALUE"""),"Школа 111")</f>
        <v>Школа 111</v>
      </c>
      <c r="E113" s="5">
        <f ca="1">IFERROR(__xludf.DUMMYFUNCTION("""COMPUTED_VALUE"""),3)</f>
        <v>3</v>
      </c>
      <c r="F113" s="5">
        <f ca="1">IFERROR(__xludf.DUMMYFUNCTION("""COMPUTED_VALUE"""),4)</f>
        <v>4</v>
      </c>
      <c r="G113" s="5">
        <f ca="1">IFERROR(__xludf.DUMMYFUNCTION("""COMPUTED_VALUE"""),4)</f>
        <v>4</v>
      </c>
      <c r="H113" s="5">
        <f ca="1">IFERROR(__xludf.DUMMYFUNCTION("""COMPUTED_VALUE"""),2)</f>
        <v>2</v>
      </c>
      <c r="I113" s="5">
        <f ca="1">IFERROR(__xludf.DUMMYFUNCTION("""COMPUTED_VALUE"""),0)</f>
        <v>0</v>
      </c>
      <c r="J113" s="5">
        <f ca="1">IFERROR(__xludf.DUMMYFUNCTION("""COMPUTED_VALUE"""),0)</f>
        <v>0</v>
      </c>
      <c r="K113" s="5">
        <f ca="1">IFERROR(__xludf.DUMMYFUNCTION("""COMPUTED_VALUE"""),0)</f>
        <v>0</v>
      </c>
      <c r="L113" s="5">
        <f ca="1">IFERROR(__xludf.DUMMYFUNCTION("""COMPUTED_VALUE"""),0)</f>
        <v>0</v>
      </c>
      <c r="M113">
        <f ca="1">IFERROR(__xludf.DUMMYFUNCTION("""COMPUTED_VALUE"""),13)</f>
        <v>13</v>
      </c>
      <c r="N113" s="8" t="str">
        <f ca="1">IFERROR(__xludf.DUMMYFUNCTION("""COMPUTED_VALUE"""),"ПО2")</f>
        <v>ПО2</v>
      </c>
    </row>
    <row r="114" spans="1:14" ht="12.45" hidden="1">
      <c r="A114" t="str">
        <f ca="1">IFERROR(__xludf.DUMMYFUNCTION("""COMPUTED_VALUE"""),"III-2-238")</f>
        <v>III-2-238</v>
      </c>
      <c r="B114" t="str">
        <f ca="1">IFERROR(__xludf.DUMMYFUNCTION("""COMPUTED_VALUE"""),"Кутьин")</f>
        <v>Кутьин</v>
      </c>
      <c r="C114" t="str">
        <f ca="1">IFERROR(__xludf.DUMMYFUNCTION("""COMPUTED_VALUE"""),"Давид")</f>
        <v>Давид</v>
      </c>
      <c r="D114" t="str">
        <f ca="1">IFERROR(__xludf.DUMMYFUNCTION("""COMPUTED_VALUE"""),"Школа 655")</f>
        <v>Школа 655</v>
      </c>
      <c r="E114" s="5">
        <f ca="1">IFERROR(__xludf.DUMMYFUNCTION("""COMPUTED_VALUE"""),3)</f>
        <v>3</v>
      </c>
      <c r="F114" s="5">
        <f ca="1">IFERROR(__xludf.DUMMYFUNCTION("""COMPUTED_VALUE"""),0)</f>
        <v>0</v>
      </c>
      <c r="G114" s="5">
        <f ca="1">IFERROR(__xludf.DUMMYFUNCTION("""COMPUTED_VALUE"""),4)</f>
        <v>4</v>
      </c>
      <c r="H114" s="5">
        <f ca="1">IFERROR(__xludf.DUMMYFUNCTION("""COMPUTED_VALUE"""),3)</f>
        <v>3</v>
      </c>
      <c r="I114" s="5">
        <f ca="1">IFERROR(__xludf.DUMMYFUNCTION("""COMPUTED_VALUE"""),3)</f>
        <v>3</v>
      </c>
      <c r="J114" s="5">
        <f ca="1">IFERROR(__xludf.DUMMYFUNCTION("""COMPUTED_VALUE"""),0)</f>
        <v>0</v>
      </c>
      <c r="K114" s="5">
        <f ca="1">IFERROR(__xludf.DUMMYFUNCTION("""COMPUTED_VALUE"""),0)</f>
        <v>0</v>
      </c>
      <c r="L114" s="5">
        <f ca="1">IFERROR(__xludf.DUMMYFUNCTION("""COMPUTED_VALUE"""),0)</f>
        <v>0</v>
      </c>
      <c r="M114">
        <f ca="1">IFERROR(__xludf.DUMMYFUNCTION("""COMPUTED_VALUE"""),13)</f>
        <v>13</v>
      </c>
      <c r="N114" s="8" t="str">
        <f ca="1">IFERROR(__xludf.DUMMYFUNCTION("""COMPUTED_VALUE"""),"ПО2")</f>
        <v>ПО2</v>
      </c>
    </row>
    <row r="115" spans="1:14" ht="12.45" hidden="1">
      <c r="A115" t="str">
        <f ca="1">IFERROR(__xludf.DUMMYFUNCTION("""COMPUTED_VALUE"""),"III-2-211")</f>
        <v>III-2-211</v>
      </c>
      <c r="B115" t="str">
        <f ca="1">IFERROR(__xludf.DUMMYFUNCTION("""COMPUTED_VALUE"""),"Кожевникова")</f>
        <v>Кожевникова</v>
      </c>
      <c r="C115" t="str">
        <f ca="1">IFERROR(__xludf.DUMMYFUNCTION("""COMPUTED_VALUE"""),"Алиса")</f>
        <v>Алиса</v>
      </c>
      <c r="D115" t="str">
        <f ca="1">IFERROR(__xludf.DUMMYFUNCTION("""COMPUTED_VALUE"""),"Лицей 344")</f>
        <v>Лицей 344</v>
      </c>
      <c r="E115" s="5">
        <f ca="1">IFERROR(__xludf.DUMMYFUNCTION("""COMPUTED_VALUE"""),3)</f>
        <v>3</v>
      </c>
      <c r="F115" s="5">
        <f ca="1">IFERROR(__xludf.DUMMYFUNCTION("""COMPUTED_VALUE"""),1)</f>
        <v>1</v>
      </c>
      <c r="G115" s="5">
        <f ca="1">IFERROR(__xludf.DUMMYFUNCTION("""COMPUTED_VALUE"""),4)</f>
        <v>4</v>
      </c>
      <c r="H115" s="5">
        <f ca="1">IFERROR(__xludf.DUMMYFUNCTION("""COMPUTED_VALUE"""),3)</f>
        <v>3</v>
      </c>
      <c r="I115" s="5">
        <f ca="1">IFERROR(__xludf.DUMMYFUNCTION("""COMPUTED_VALUE"""),0)</f>
        <v>0</v>
      </c>
      <c r="J115" s="5">
        <f ca="1">IFERROR(__xludf.DUMMYFUNCTION("""COMPUTED_VALUE"""),0)</f>
        <v>0</v>
      </c>
      <c r="K115" s="5">
        <f ca="1">IFERROR(__xludf.DUMMYFUNCTION("""COMPUTED_VALUE"""),1)</f>
        <v>1</v>
      </c>
      <c r="L115" s="5">
        <f ca="1">IFERROR(__xludf.DUMMYFUNCTION("""COMPUTED_VALUE"""),0)</f>
        <v>0</v>
      </c>
      <c r="M115">
        <f ca="1">IFERROR(__xludf.DUMMYFUNCTION("""COMPUTED_VALUE"""),12)</f>
        <v>12</v>
      </c>
      <c r="N115" s="8"/>
    </row>
    <row r="116" spans="1:14" ht="12.45" hidden="1">
      <c r="A116" t="str">
        <f ca="1">IFERROR(__xludf.DUMMYFUNCTION("""COMPUTED_VALUE"""),"V-2-303")</f>
        <v>V-2-303</v>
      </c>
      <c r="B116" t="str">
        <f ca="1">IFERROR(__xludf.DUMMYFUNCTION("""COMPUTED_VALUE"""),"Мягкова")</f>
        <v>Мягкова</v>
      </c>
      <c r="C116" t="str">
        <f ca="1">IFERROR(__xludf.DUMMYFUNCTION("""COMPUTED_VALUE"""),"Дарья")</f>
        <v>Дарья</v>
      </c>
      <c r="D116" t="str">
        <f ca="1">IFERROR(__xludf.DUMMYFUNCTION("""COMPUTED_VALUE"""),"Школа 482")</f>
        <v>Школа 482</v>
      </c>
      <c r="E116" s="5">
        <f ca="1">IFERROR(__xludf.DUMMYFUNCTION("""COMPUTED_VALUE"""),1)</f>
        <v>1</v>
      </c>
      <c r="F116" s="5">
        <f ca="1">IFERROR(__xludf.DUMMYFUNCTION("""COMPUTED_VALUE"""),1)</f>
        <v>1</v>
      </c>
      <c r="G116" s="5">
        <f ca="1">IFERROR(__xludf.DUMMYFUNCTION("""COMPUTED_VALUE"""),0)</f>
        <v>0</v>
      </c>
      <c r="H116" s="5">
        <f ca="1">IFERROR(__xludf.DUMMYFUNCTION("""COMPUTED_VALUE"""),2)</f>
        <v>2</v>
      </c>
      <c r="I116" s="5">
        <f ca="1">IFERROR(__xludf.DUMMYFUNCTION("""COMPUTED_VALUE"""),5)</f>
        <v>5</v>
      </c>
      <c r="J116" s="5">
        <f ca="1">IFERROR(__xludf.DUMMYFUNCTION("""COMPUTED_VALUE"""),3)</f>
        <v>3</v>
      </c>
      <c r="K116" s="5">
        <f ca="1">IFERROR(__xludf.DUMMYFUNCTION("""COMPUTED_VALUE"""),0)</f>
        <v>0</v>
      </c>
      <c r="L116" s="5">
        <f ca="1">IFERROR(__xludf.DUMMYFUNCTION("""COMPUTED_VALUE"""),0)</f>
        <v>0</v>
      </c>
      <c r="M116">
        <f ca="1">IFERROR(__xludf.DUMMYFUNCTION("""COMPUTED_VALUE"""),12)</f>
        <v>12</v>
      </c>
      <c r="N116" s="8"/>
    </row>
    <row r="117" spans="1:14" ht="12.45" hidden="1">
      <c r="A117" t="str">
        <f ca="1">IFERROR(__xludf.DUMMYFUNCTION("""COMPUTED_VALUE"""),"III-2-029")</f>
        <v>III-2-029</v>
      </c>
      <c r="B117" t="str">
        <f ca="1">IFERROR(__xludf.DUMMYFUNCTION("""COMPUTED_VALUE"""),"Бабаин")</f>
        <v>Бабаин</v>
      </c>
      <c r="C117" t="str">
        <f ca="1">IFERROR(__xludf.DUMMYFUNCTION("""COMPUTED_VALUE"""),"Юрий")</f>
        <v>Юрий</v>
      </c>
      <c r="D117" t="str">
        <f ca="1">IFERROR(__xludf.DUMMYFUNCTION("""COMPUTED_VALUE"""),"Гимназия 41")</f>
        <v>Гимназия 41</v>
      </c>
      <c r="E117" s="5">
        <f ca="1">IFERROR(__xludf.DUMMYFUNCTION("""COMPUTED_VALUE"""),2)</f>
        <v>2</v>
      </c>
      <c r="F117" s="5">
        <f ca="1">IFERROR(__xludf.DUMMYFUNCTION("""COMPUTED_VALUE"""),0)</f>
        <v>0</v>
      </c>
      <c r="G117" s="5">
        <f ca="1">IFERROR(__xludf.DUMMYFUNCTION("""COMPUTED_VALUE"""),4)</f>
        <v>4</v>
      </c>
      <c r="H117" s="5">
        <f ca="1">IFERROR(__xludf.DUMMYFUNCTION("""COMPUTED_VALUE"""),0)</f>
        <v>0</v>
      </c>
      <c r="I117" s="5">
        <f ca="1">IFERROR(__xludf.DUMMYFUNCTION("""COMPUTED_VALUE"""),3)</f>
        <v>3</v>
      </c>
      <c r="J117" s="5">
        <f ca="1">IFERROR(__xludf.DUMMYFUNCTION("""COMPUTED_VALUE"""),3)</f>
        <v>3</v>
      </c>
      <c r="K117" s="5">
        <f ca="1">IFERROR(__xludf.DUMMYFUNCTION("""COMPUTED_VALUE"""),0)</f>
        <v>0</v>
      </c>
      <c r="L117" s="5">
        <f ca="1">IFERROR(__xludf.DUMMYFUNCTION("""COMPUTED_VALUE"""),0)</f>
        <v>0</v>
      </c>
      <c r="M117">
        <f ca="1">IFERROR(__xludf.DUMMYFUNCTION("""COMPUTED_VALUE"""),12)</f>
        <v>12</v>
      </c>
      <c r="N117" s="8"/>
    </row>
    <row r="118" spans="1:14" ht="12.45" hidden="1">
      <c r="A118" t="str">
        <f ca="1">IFERROR(__xludf.DUMMYFUNCTION("""COMPUTED_VALUE"""),"V-2-328")</f>
        <v>V-2-328</v>
      </c>
      <c r="B118" t="str">
        <f ca="1">IFERROR(__xludf.DUMMYFUNCTION("""COMPUTED_VALUE"""),"Павлов")</f>
        <v>Павлов</v>
      </c>
      <c r="C118" t="str">
        <f ca="1">IFERROR(__xludf.DUMMYFUNCTION("""COMPUTED_VALUE"""),"Никита")</f>
        <v>Никита</v>
      </c>
      <c r="D118" t="str">
        <f ca="1">IFERROR(__xludf.DUMMYFUNCTION("""COMPUTED_VALUE"""),"Школа 246")</f>
        <v>Школа 246</v>
      </c>
      <c r="E118" s="5">
        <f ca="1">IFERROR(__xludf.DUMMYFUNCTION("""COMPUTED_VALUE"""),2)</f>
        <v>2</v>
      </c>
      <c r="F118" s="5">
        <f ca="1">IFERROR(__xludf.DUMMYFUNCTION("""COMPUTED_VALUE"""),0)</f>
        <v>0</v>
      </c>
      <c r="G118" s="5">
        <f ca="1">IFERROR(__xludf.DUMMYFUNCTION("""COMPUTED_VALUE"""),4)</f>
        <v>4</v>
      </c>
      <c r="H118" s="5">
        <f ca="1">IFERROR(__xludf.DUMMYFUNCTION("""COMPUTED_VALUE"""),0)</f>
        <v>0</v>
      </c>
      <c r="I118" s="5">
        <f ca="1">IFERROR(__xludf.DUMMYFUNCTION("""COMPUTED_VALUE"""),3)</f>
        <v>3</v>
      </c>
      <c r="J118" s="5">
        <f ca="1">IFERROR(__xludf.DUMMYFUNCTION("""COMPUTED_VALUE"""),3)</f>
        <v>3</v>
      </c>
      <c r="K118" s="5">
        <f ca="1">IFERROR(__xludf.DUMMYFUNCTION("""COMPUTED_VALUE"""),0)</f>
        <v>0</v>
      </c>
      <c r="L118" s="5">
        <f ca="1">IFERROR(__xludf.DUMMYFUNCTION("""COMPUTED_VALUE"""),0)</f>
        <v>0</v>
      </c>
      <c r="M118">
        <f ca="1">IFERROR(__xludf.DUMMYFUNCTION("""COMPUTED_VALUE"""),12)</f>
        <v>12</v>
      </c>
      <c r="N118" s="8"/>
    </row>
    <row r="119" spans="1:14" ht="12.45" hidden="1">
      <c r="A119" t="str">
        <f ca="1">IFERROR(__xludf.DUMMYFUNCTION("""COMPUTED_VALUE"""),"III-2-176")</f>
        <v>III-2-176</v>
      </c>
      <c r="B119" t="str">
        <f ca="1">IFERROR(__xludf.DUMMYFUNCTION("""COMPUTED_VALUE"""),"Иванова")</f>
        <v>Иванова</v>
      </c>
      <c r="C119" t="str">
        <f ca="1">IFERROR(__xludf.DUMMYFUNCTION("""COMPUTED_VALUE"""),"Алиса")</f>
        <v>Алиса</v>
      </c>
      <c r="D119" t="str">
        <f ca="1">IFERROR(__xludf.DUMMYFUNCTION("""COMPUTED_VALUE"""),"Школа 138 Калининского района")</f>
        <v>Школа 138 Калининского района</v>
      </c>
      <c r="E119" s="5">
        <f ca="1">IFERROR(__xludf.DUMMYFUNCTION("""COMPUTED_VALUE"""),3)</f>
        <v>3</v>
      </c>
      <c r="F119" s="5">
        <f ca="1">IFERROR(__xludf.DUMMYFUNCTION("""COMPUTED_VALUE"""),0)</f>
        <v>0</v>
      </c>
      <c r="G119" s="5">
        <f ca="1">IFERROR(__xludf.DUMMYFUNCTION("""COMPUTED_VALUE"""),4)</f>
        <v>4</v>
      </c>
      <c r="H119" s="5">
        <f ca="1">IFERROR(__xludf.DUMMYFUNCTION("""COMPUTED_VALUE"""),0)</f>
        <v>0</v>
      </c>
      <c r="I119" s="5">
        <f ca="1">IFERROR(__xludf.DUMMYFUNCTION("""COMPUTED_VALUE"""),2)</f>
        <v>2</v>
      </c>
      <c r="J119" s="5">
        <f ca="1">IFERROR(__xludf.DUMMYFUNCTION("""COMPUTED_VALUE"""),3)</f>
        <v>3</v>
      </c>
      <c r="K119" s="5">
        <f ca="1">IFERROR(__xludf.DUMMYFUNCTION("""COMPUTED_VALUE"""),0)</f>
        <v>0</v>
      </c>
      <c r="L119" s="5">
        <f ca="1">IFERROR(__xludf.DUMMYFUNCTION("""COMPUTED_VALUE"""),0)</f>
        <v>0</v>
      </c>
      <c r="M119">
        <f ca="1">IFERROR(__xludf.DUMMYFUNCTION("""COMPUTED_VALUE"""),12)</f>
        <v>12</v>
      </c>
      <c r="N119" s="8"/>
    </row>
    <row r="120" spans="1:14" ht="12.45" hidden="1">
      <c r="A120" t="str">
        <f ca="1">IFERROR(__xludf.DUMMYFUNCTION("""COMPUTED_VALUE"""),"V-2-338")</f>
        <v>V-2-338</v>
      </c>
      <c r="B120" t="str">
        <f ca="1">IFERROR(__xludf.DUMMYFUNCTION("""COMPUTED_VALUE"""),"Поливцева")</f>
        <v>Поливцева</v>
      </c>
      <c r="C120" t="str">
        <f ca="1">IFERROR(__xludf.DUMMYFUNCTION("""COMPUTED_VALUE"""),"Маргарита")</f>
        <v>Маргарита</v>
      </c>
      <c r="D120" t="str">
        <f ca="1">IFERROR(__xludf.DUMMYFUNCTION("""COMPUTED_VALUE"""),"Школа 482")</f>
        <v>Школа 482</v>
      </c>
      <c r="E120" s="5">
        <f ca="1">IFERROR(__xludf.DUMMYFUNCTION("""COMPUTED_VALUE"""),1)</f>
        <v>1</v>
      </c>
      <c r="F120" s="5">
        <f ca="1">IFERROR(__xludf.DUMMYFUNCTION("""COMPUTED_VALUE"""),0)</f>
        <v>0</v>
      </c>
      <c r="G120" s="5">
        <f ca="1">IFERROR(__xludf.DUMMYFUNCTION("""COMPUTED_VALUE"""),4)</f>
        <v>4</v>
      </c>
      <c r="H120" s="5">
        <f ca="1">IFERROR(__xludf.DUMMYFUNCTION("""COMPUTED_VALUE"""),0)</f>
        <v>0</v>
      </c>
      <c r="I120" s="5">
        <f ca="1">IFERROR(__xludf.DUMMYFUNCTION("""COMPUTED_VALUE"""),5)</f>
        <v>5</v>
      </c>
      <c r="J120" s="5">
        <f ca="1">IFERROR(__xludf.DUMMYFUNCTION("""COMPUTED_VALUE"""),2)</f>
        <v>2</v>
      </c>
      <c r="K120" s="5">
        <f ca="1">IFERROR(__xludf.DUMMYFUNCTION("""COMPUTED_VALUE"""),0)</f>
        <v>0</v>
      </c>
      <c r="L120" s="5">
        <f ca="1">IFERROR(__xludf.DUMMYFUNCTION("""COMPUTED_VALUE"""),0)</f>
        <v>0</v>
      </c>
      <c r="M120">
        <f ca="1">IFERROR(__xludf.DUMMYFUNCTION("""COMPUTED_VALUE"""),12)</f>
        <v>12</v>
      </c>
      <c r="N120" s="8"/>
    </row>
    <row r="121" spans="1:14" ht="12.45" hidden="1">
      <c r="A121" t="str">
        <f ca="1">IFERROR(__xludf.DUMMYFUNCTION("""COMPUTED_VALUE"""),"III-2-183")</f>
        <v>III-2-183</v>
      </c>
      <c r="B121" t="str">
        <f ca="1">IFERROR(__xludf.DUMMYFUNCTION("""COMPUTED_VALUE"""),"Истомин")</f>
        <v>Истомин</v>
      </c>
      <c r="C121" t="str">
        <f ca="1">IFERROR(__xludf.DUMMYFUNCTION("""COMPUTED_VALUE"""),"Тимофей")</f>
        <v>Тимофей</v>
      </c>
      <c r="D121" t="str">
        <f ca="1">IFERROR(__xludf.DUMMYFUNCTION("""COMPUTED_VALUE"""),"Школа Кудровская 1")</f>
        <v>Школа Кудровская 1</v>
      </c>
      <c r="E121" s="5">
        <f ca="1">IFERROR(__xludf.DUMMYFUNCTION("""COMPUTED_VALUE"""),3)</f>
        <v>3</v>
      </c>
      <c r="F121" s="5">
        <f ca="1">IFERROR(__xludf.DUMMYFUNCTION("""COMPUTED_VALUE"""),0)</f>
        <v>0</v>
      </c>
      <c r="G121" s="5">
        <f ca="1">IFERROR(__xludf.DUMMYFUNCTION("""COMPUTED_VALUE"""),4)</f>
        <v>4</v>
      </c>
      <c r="H121" s="5">
        <f ca="1">IFERROR(__xludf.DUMMYFUNCTION("""COMPUTED_VALUE"""),0)</f>
        <v>0</v>
      </c>
      <c r="I121" s="5">
        <f ca="1">IFERROR(__xludf.DUMMYFUNCTION("""COMPUTED_VALUE"""),5)</f>
        <v>5</v>
      </c>
      <c r="J121" s="5">
        <f ca="1">IFERROR(__xludf.DUMMYFUNCTION("""COMPUTED_VALUE"""),0)</f>
        <v>0</v>
      </c>
      <c r="K121" s="5">
        <f ca="1">IFERROR(__xludf.DUMMYFUNCTION("""COMPUTED_VALUE"""),0)</f>
        <v>0</v>
      </c>
      <c r="L121" s="5">
        <f ca="1">IFERROR(__xludf.DUMMYFUNCTION("""COMPUTED_VALUE"""),0)</f>
        <v>0</v>
      </c>
      <c r="M121">
        <f ca="1">IFERROR(__xludf.DUMMYFUNCTION("""COMPUTED_VALUE"""),12)</f>
        <v>12</v>
      </c>
      <c r="N121" s="8"/>
    </row>
    <row r="122" spans="1:14" ht="12.45" hidden="1">
      <c r="A122" t="str">
        <f ca="1">IFERROR(__xludf.DUMMYFUNCTION("""COMPUTED_VALUE"""),"III-2-137")</f>
        <v>III-2-137</v>
      </c>
      <c r="B122" t="str">
        <f ca="1">IFERROR(__xludf.DUMMYFUNCTION("""COMPUTED_VALUE"""),"Дорожкина")</f>
        <v>Дорожкина</v>
      </c>
      <c r="C122" t="str">
        <f ca="1">IFERROR(__xludf.DUMMYFUNCTION("""COMPUTED_VALUE"""),"Вера")</f>
        <v>Вера</v>
      </c>
      <c r="D122" t="str">
        <f ca="1">IFERROR(__xludf.DUMMYFUNCTION("""COMPUTED_VALUE"""),"Школа 46")</f>
        <v>Школа 46</v>
      </c>
      <c r="E122" s="5">
        <f ca="1">IFERROR(__xludf.DUMMYFUNCTION("""COMPUTED_VALUE"""),3)</f>
        <v>3</v>
      </c>
      <c r="F122" s="5">
        <f ca="1">IFERROR(__xludf.DUMMYFUNCTION("""COMPUTED_VALUE"""),0)</f>
        <v>0</v>
      </c>
      <c r="G122" s="5">
        <f ca="1">IFERROR(__xludf.DUMMYFUNCTION("""COMPUTED_VALUE"""),4)</f>
        <v>4</v>
      </c>
      <c r="H122" s="5">
        <f ca="1">IFERROR(__xludf.DUMMYFUNCTION("""COMPUTED_VALUE"""),0)</f>
        <v>0</v>
      </c>
      <c r="I122" s="5">
        <f ca="1">IFERROR(__xludf.DUMMYFUNCTION("""COMPUTED_VALUE"""),5)</f>
        <v>5</v>
      </c>
      <c r="J122" s="5">
        <f ca="1">IFERROR(__xludf.DUMMYFUNCTION("""COMPUTED_VALUE"""),0)</f>
        <v>0</v>
      </c>
      <c r="K122" s="5">
        <f ca="1">IFERROR(__xludf.DUMMYFUNCTION("""COMPUTED_VALUE"""),0)</f>
        <v>0</v>
      </c>
      <c r="L122" s="5">
        <f ca="1">IFERROR(__xludf.DUMMYFUNCTION("""COMPUTED_VALUE"""),0)</f>
        <v>0</v>
      </c>
      <c r="M122">
        <f ca="1">IFERROR(__xludf.DUMMYFUNCTION("""COMPUTED_VALUE"""),12)</f>
        <v>12</v>
      </c>
      <c r="N122" s="8"/>
    </row>
    <row r="123" spans="1:14" ht="12.45" hidden="1">
      <c r="A123" t="str">
        <f ca="1">IFERROR(__xludf.DUMMYFUNCTION("""COMPUTED_VALUE"""),"III-2-213")</f>
        <v>III-2-213</v>
      </c>
      <c r="B123" t="str">
        <f ca="1">IFERROR(__xludf.DUMMYFUNCTION("""COMPUTED_VALUE"""),"Козловский")</f>
        <v>Козловский</v>
      </c>
      <c r="C123" t="str">
        <f ca="1">IFERROR(__xludf.DUMMYFUNCTION("""COMPUTED_VALUE"""),"Артём")</f>
        <v>Артём</v>
      </c>
      <c r="D123" t="str">
        <f ca="1">IFERROR(__xludf.DUMMYFUNCTION("""COMPUTED_VALUE"""),"Гимназия 73")</f>
        <v>Гимназия 73</v>
      </c>
      <c r="E123" s="5">
        <f ca="1">IFERROR(__xludf.DUMMYFUNCTION("""COMPUTED_VALUE"""),3)</f>
        <v>3</v>
      </c>
      <c r="F123" s="5">
        <f ca="1">IFERROR(__xludf.DUMMYFUNCTION("""COMPUTED_VALUE"""),0)</f>
        <v>0</v>
      </c>
      <c r="G123" s="5">
        <f ca="1">IFERROR(__xludf.DUMMYFUNCTION("""COMPUTED_VALUE"""),4)</f>
        <v>4</v>
      </c>
      <c r="H123" s="5">
        <f ca="1">IFERROR(__xludf.DUMMYFUNCTION("""COMPUTED_VALUE"""),0)</f>
        <v>0</v>
      </c>
      <c r="I123" s="5">
        <f ca="1">IFERROR(__xludf.DUMMYFUNCTION("""COMPUTED_VALUE"""),5)</f>
        <v>5</v>
      </c>
      <c r="J123" s="5">
        <f ca="1">IFERROR(__xludf.DUMMYFUNCTION("""COMPUTED_VALUE"""),0)</f>
        <v>0</v>
      </c>
      <c r="K123" s="5">
        <f ca="1">IFERROR(__xludf.DUMMYFUNCTION("""COMPUTED_VALUE"""),0)</f>
        <v>0</v>
      </c>
      <c r="L123" s="5">
        <f ca="1">IFERROR(__xludf.DUMMYFUNCTION("""COMPUTED_VALUE"""),0)</f>
        <v>0</v>
      </c>
      <c r="M123">
        <f ca="1">IFERROR(__xludf.DUMMYFUNCTION("""COMPUTED_VALUE"""),12)</f>
        <v>12</v>
      </c>
      <c r="N123" s="8"/>
    </row>
    <row r="124" spans="1:14" ht="12.45" hidden="1">
      <c r="A124" t="str">
        <f ca="1">IFERROR(__xludf.DUMMYFUNCTION("""COMPUTED_VALUE"""),"III-2-133")</f>
        <v>III-2-133</v>
      </c>
      <c r="B124" t="str">
        <f ca="1">IFERROR(__xludf.DUMMYFUNCTION("""COMPUTED_VALUE"""),"Докутович")</f>
        <v>Докутович</v>
      </c>
      <c r="C124" t="str">
        <f ca="1">IFERROR(__xludf.DUMMYFUNCTION("""COMPUTED_VALUE"""),"Илья")</f>
        <v>Илья</v>
      </c>
      <c r="D124" t="str">
        <f ca="1">IFERROR(__xludf.DUMMYFUNCTION("""COMPUTED_VALUE"""),"Школа 643")</f>
        <v>Школа 643</v>
      </c>
      <c r="E124" s="5">
        <f ca="1">IFERROR(__xludf.DUMMYFUNCTION("""COMPUTED_VALUE"""),3)</f>
        <v>3</v>
      </c>
      <c r="F124" s="5">
        <f ca="1">IFERROR(__xludf.DUMMYFUNCTION("""COMPUTED_VALUE"""),0)</f>
        <v>0</v>
      </c>
      <c r="G124" s="5">
        <f ca="1">IFERROR(__xludf.DUMMYFUNCTION("""COMPUTED_VALUE"""),4)</f>
        <v>4</v>
      </c>
      <c r="H124" s="5">
        <f ca="1">IFERROR(__xludf.DUMMYFUNCTION("""COMPUTED_VALUE"""),0)</f>
        <v>0</v>
      </c>
      <c r="I124" s="5">
        <f ca="1">IFERROR(__xludf.DUMMYFUNCTION("""COMPUTED_VALUE"""),5)</f>
        <v>5</v>
      </c>
      <c r="J124" s="5">
        <f ca="1">IFERROR(__xludf.DUMMYFUNCTION("""COMPUTED_VALUE"""),0)</f>
        <v>0</v>
      </c>
      <c r="K124" s="5">
        <f ca="1">IFERROR(__xludf.DUMMYFUNCTION("""COMPUTED_VALUE"""),0)</f>
        <v>0</v>
      </c>
      <c r="L124" s="5">
        <f ca="1">IFERROR(__xludf.DUMMYFUNCTION("""COMPUTED_VALUE"""),0)</f>
        <v>0</v>
      </c>
      <c r="M124">
        <f ca="1">IFERROR(__xludf.DUMMYFUNCTION("""COMPUTED_VALUE"""),12)</f>
        <v>12</v>
      </c>
      <c r="N124" s="8"/>
    </row>
    <row r="125" spans="1:14" ht="12.45" hidden="1">
      <c r="A125" t="str">
        <f ca="1">IFERROR(__xludf.DUMMYFUNCTION("""COMPUTED_VALUE"""),"V-2-285")</f>
        <v>V-2-285</v>
      </c>
      <c r="B125" t="str">
        <f ca="1">IFERROR(__xludf.DUMMYFUNCTION("""COMPUTED_VALUE"""),"Мелешко")</f>
        <v>Мелешко</v>
      </c>
      <c r="C125" t="str">
        <f ca="1">IFERROR(__xludf.DUMMYFUNCTION("""COMPUTED_VALUE"""),"Вячеслав")</f>
        <v>Вячеслав</v>
      </c>
      <c r="D125" t="str">
        <f ca="1">IFERROR(__xludf.DUMMYFUNCTION("""COMPUTED_VALUE"""),"Школа 489")</f>
        <v>Школа 489</v>
      </c>
      <c r="E125" s="5">
        <f ca="1">IFERROR(__xludf.DUMMYFUNCTION("""COMPUTED_VALUE"""),3)</f>
        <v>3</v>
      </c>
      <c r="F125" s="5">
        <f ca="1">IFERROR(__xludf.DUMMYFUNCTION("""COMPUTED_VALUE"""),4)</f>
        <v>4</v>
      </c>
      <c r="G125" s="5">
        <f ca="1">IFERROR(__xludf.DUMMYFUNCTION("""COMPUTED_VALUE"""),0)</f>
        <v>0</v>
      </c>
      <c r="H125" s="5">
        <f ca="1">IFERROR(__xludf.DUMMYFUNCTION("""COMPUTED_VALUE"""),0)</f>
        <v>0</v>
      </c>
      <c r="I125" s="5">
        <f ca="1">IFERROR(__xludf.DUMMYFUNCTION("""COMPUTED_VALUE"""),5)</f>
        <v>5</v>
      </c>
      <c r="J125" s="5">
        <f ca="1">IFERROR(__xludf.DUMMYFUNCTION("""COMPUTED_VALUE"""),0)</f>
        <v>0</v>
      </c>
      <c r="K125" s="5">
        <f ca="1">IFERROR(__xludf.DUMMYFUNCTION("""COMPUTED_VALUE"""),0)</f>
        <v>0</v>
      </c>
      <c r="L125" s="5">
        <f ca="1">IFERROR(__xludf.DUMMYFUNCTION("""COMPUTED_VALUE"""),0)</f>
        <v>0</v>
      </c>
      <c r="M125">
        <f ca="1">IFERROR(__xludf.DUMMYFUNCTION("""COMPUTED_VALUE"""),12)</f>
        <v>12</v>
      </c>
      <c r="N125" s="8"/>
    </row>
    <row r="126" spans="1:14" ht="12.45" hidden="1">
      <c r="A126" t="str">
        <f ca="1">IFERROR(__xludf.DUMMYFUNCTION("""COMPUTED_VALUE"""),"III-2-190")</f>
        <v>III-2-190</v>
      </c>
      <c r="B126" t="str">
        <f ca="1">IFERROR(__xludf.DUMMYFUNCTION("""COMPUTED_VALUE"""),"Калита")</f>
        <v>Калита</v>
      </c>
      <c r="C126" t="str">
        <f ca="1">IFERROR(__xludf.DUMMYFUNCTION("""COMPUTED_VALUE"""),"Георгий")</f>
        <v>Георгий</v>
      </c>
      <c r="D126" t="str">
        <f ca="1">IFERROR(__xludf.DUMMYFUNCTION("""COMPUTED_VALUE"""),"Гимназия 642 ”Земля и Вселенная”")</f>
        <v>Гимназия 642 ”Земля и Вселенная”</v>
      </c>
      <c r="E126" s="5">
        <f ca="1">IFERROR(__xludf.DUMMYFUNCTION("""COMPUTED_VALUE"""),3)</f>
        <v>3</v>
      </c>
      <c r="F126" s="5">
        <f ca="1">IFERROR(__xludf.DUMMYFUNCTION("""COMPUTED_VALUE"""),4)</f>
        <v>4</v>
      </c>
      <c r="G126" s="5">
        <f ca="1">IFERROR(__xludf.DUMMYFUNCTION("""COMPUTED_VALUE"""),0)</f>
        <v>0</v>
      </c>
      <c r="H126" s="5">
        <f ca="1">IFERROR(__xludf.DUMMYFUNCTION("""COMPUTED_VALUE"""),0)</f>
        <v>0</v>
      </c>
      <c r="I126" s="5">
        <f ca="1">IFERROR(__xludf.DUMMYFUNCTION("""COMPUTED_VALUE"""),5)</f>
        <v>5</v>
      </c>
      <c r="J126" s="5">
        <f ca="1">IFERROR(__xludf.DUMMYFUNCTION("""COMPUTED_VALUE"""),0)</f>
        <v>0</v>
      </c>
      <c r="K126" s="5">
        <f ca="1">IFERROR(__xludf.DUMMYFUNCTION("""COMPUTED_VALUE"""),0)</f>
        <v>0</v>
      </c>
      <c r="L126" s="5">
        <f ca="1">IFERROR(__xludf.DUMMYFUNCTION("""COMPUTED_VALUE"""),0)</f>
        <v>0</v>
      </c>
      <c r="M126">
        <f ca="1">IFERROR(__xludf.DUMMYFUNCTION("""COMPUTED_VALUE"""),12)</f>
        <v>12</v>
      </c>
      <c r="N126" s="8"/>
    </row>
    <row r="127" spans="1:14" ht="12.45" hidden="1">
      <c r="A127" t="str">
        <f ca="1">IFERROR(__xludf.DUMMYFUNCTION("""COMPUTED_VALUE"""),"III-2-097")</f>
        <v>III-2-097</v>
      </c>
      <c r="B127" t="str">
        <f ca="1">IFERROR(__xludf.DUMMYFUNCTION("""COMPUTED_VALUE"""),"Гольдштейн")</f>
        <v>Гольдштейн</v>
      </c>
      <c r="C127" t="str">
        <f ca="1">IFERROR(__xludf.DUMMYFUNCTION("""COMPUTED_VALUE"""),"Давид")</f>
        <v>Давид</v>
      </c>
      <c r="D127" t="str">
        <f ca="1">IFERROR(__xludf.DUMMYFUNCTION("""COMPUTED_VALUE"""),"Школа Англоамериканская школа")</f>
        <v>Школа Англоамериканская школа</v>
      </c>
      <c r="E127" s="5">
        <f ca="1">IFERROR(__xludf.DUMMYFUNCTION("""COMPUTED_VALUE"""),1)</f>
        <v>1</v>
      </c>
      <c r="F127" s="5">
        <f ca="1">IFERROR(__xludf.DUMMYFUNCTION("""COMPUTED_VALUE"""),4)</f>
        <v>4</v>
      </c>
      <c r="G127" s="5">
        <f ca="1">IFERROR(__xludf.DUMMYFUNCTION("""COMPUTED_VALUE"""),4)</f>
        <v>4</v>
      </c>
      <c r="H127" s="5">
        <f ca="1">IFERROR(__xludf.DUMMYFUNCTION("""COMPUTED_VALUE"""),0)</f>
        <v>0</v>
      </c>
      <c r="I127" s="5">
        <f ca="1">IFERROR(__xludf.DUMMYFUNCTION("""COMPUTED_VALUE"""),3)</f>
        <v>3</v>
      </c>
      <c r="J127" s="5">
        <f ca="1">IFERROR(__xludf.DUMMYFUNCTION("""COMPUTED_VALUE"""),0)</f>
        <v>0</v>
      </c>
      <c r="K127" s="5">
        <f ca="1">IFERROR(__xludf.DUMMYFUNCTION("""COMPUTED_VALUE"""),0)</f>
        <v>0</v>
      </c>
      <c r="L127" s="5">
        <f ca="1">IFERROR(__xludf.DUMMYFUNCTION("""COMPUTED_VALUE"""),0)</f>
        <v>0</v>
      </c>
      <c r="M127">
        <f ca="1">IFERROR(__xludf.DUMMYFUNCTION("""COMPUTED_VALUE"""),12)</f>
        <v>12</v>
      </c>
      <c r="N127" s="8"/>
    </row>
    <row r="128" spans="1:14" ht="12.45" hidden="1">
      <c r="A128" t="str">
        <f ca="1">IFERROR(__xludf.DUMMYFUNCTION("""COMPUTED_VALUE"""),"III-2-167")</f>
        <v>III-2-167</v>
      </c>
      <c r="B128" t="str">
        <f ca="1">IFERROR(__xludf.DUMMYFUNCTION("""COMPUTED_VALUE"""),"Закамалдина")</f>
        <v>Закамалдина</v>
      </c>
      <c r="C128" t="str">
        <f ca="1">IFERROR(__xludf.DUMMYFUNCTION("""COMPUTED_VALUE"""),"Екатерина")</f>
        <v>Екатерина</v>
      </c>
      <c r="D128" t="str">
        <f ca="1">IFERROR(__xludf.DUMMYFUNCTION("""COMPUTED_VALUE"""),"Гимназия 73")</f>
        <v>Гимназия 73</v>
      </c>
      <c r="E128" s="5">
        <f ca="1">IFERROR(__xludf.DUMMYFUNCTION("""COMPUTED_VALUE"""),1)</f>
        <v>1</v>
      </c>
      <c r="F128" s="5">
        <f ca="1">IFERROR(__xludf.DUMMYFUNCTION("""COMPUTED_VALUE"""),4)</f>
        <v>4</v>
      </c>
      <c r="G128" s="5">
        <f ca="1">IFERROR(__xludf.DUMMYFUNCTION("""COMPUTED_VALUE"""),4)</f>
        <v>4</v>
      </c>
      <c r="H128" s="5">
        <f ca="1">IFERROR(__xludf.DUMMYFUNCTION("""COMPUTED_VALUE"""),0)</f>
        <v>0</v>
      </c>
      <c r="I128" s="5">
        <f ca="1">IFERROR(__xludf.DUMMYFUNCTION("""COMPUTED_VALUE"""),3)</f>
        <v>3</v>
      </c>
      <c r="J128" s="5">
        <f ca="1">IFERROR(__xludf.DUMMYFUNCTION("""COMPUTED_VALUE"""),0)</f>
        <v>0</v>
      </c>
      <c r="K128" s="5">
        <f ca="1">IFERROR(__xludf.DUMMYFUNCTION("""COMPUTED_VALUE"""),0)</f>
        <v>0</v>
      </c>
      <c r="L128" s="5">
        <f ca="1">IFERROR(__xludf.DUMMYFUNCTION("""COMPUTED_VALUE"""),0)</f>
        <v>0</v>
      </c>
      <c r="M128">
        <f ca="1">IFERROR(__xludf.DUMMYFUNCTION("""COMPUTED_VALUE"""),12)</f>
        <v>12</v>
      </c>
      <c r="N128" s="8"/>
    </row>
    <row r="129" spans="1:14" ht="12.45" hidden="1">
      <c r="A129" t="str">
        <f ca="1">IFERROR(__xludf.DUMMYFUNCTION("""COMPUTED_VALUE"""),"V-2-323")</f>
        <v>V-2-323</v>
      </c>
      <c r="B129" t="str">
        <f ca="1">IFERROR(__xludf.DUMMYFUNCTION("""COMPUTED_VALUE"""),"Одинцов")</f>
        <v>Одинцов</v>
      </c>
      <c r="C129" t="str">
        <f ca="1">IFERROR(__xludf.DUMMYFUNCTION("""COMPUTED_VALUE"""),"Тимофей")</f>
        <v>Тимофей</v>
      </c>
      <c r="D129" t="str">
        <f ca="1">IFERROR(__xludf.DUMMYFUNCTION("""COMPUTED_VALUE"""),"Школа 580")</f>
        <v>Школа 580</v>
      </c>
      <c r="E129" s="5">
        <f ca="1">IFERROR(__xludf.DUMMYFUNCTION("""COMPUTED_VALUE"""),1)</f>
        <v>1</v>
      </c>
      <c r="F129" s="5">
        <f ca="1">IFERROR(__xludf.DUMMYFUNCTION("""COMPUTED_VALUE"""),4)</f>
        <v>4</v>
      </c>
      <c r="G129" s="5">
        <f ca="1">IFERROR(__xludf.DUMMYFUNCTION("""COMPUTED_VALUE"""),2)</f>
        <v>2</v>
      </c>
      <c r="H129" s="5">
        <f ca="1">IFERROR(__xludf.DUMMYFUNCTION("""COMPUTED_VALUE"""),3)</f>
        <v>3</v>
      </c>
      <c r="I129" s="5">
        <f ca="1">IFERROR(__xludf.DUMMYFUNCTION("""COMPUTED_VALUE"""),2)</f>
        <v>2</v>
      </c>
      <c r="J129" s="5">
        <f ca="1">IFERROR(__xludf.DUMMYFUNCTION("""COMPUTED_VALUE"""),0)</f>
        <v>0</v>
      </c>
      <c r="K129" s="5">
        <f ca="1">IFERROR(__xludf.DUMMYFUNCTION("""COMPUTED_VALUE"""),0)</f>
        <v>0</v>
      </c>
      <c r="L129" s="5">
        <f ca="1">IFERROR(__xludf.DUMMYFUNCTION("""COMPUTED_VALUE"""),0)</f>
        <v>0</v>
      </c>
      <c r="M129">
        <f ca="1">IFERROR(__xludf.DUMMYFUNCTION("""COMPUTED_VALUE"""),12)</f>
        <v>12</v>
      </c>
      <c r="N129" s="8"/>
    </row>
    <row r="130" spans="1:14" ht="12.45" hidden="1">
      <c r="A130" t="str">
        <f ca="1">IFERROR(__xludf.DUMMYFUNCTION("""COMPUTED_VALUE"""),"V-2-294")</f>
        <v>V-2-294</v>
      </c>
      <c r="B130" t="str">
        <f ca="1">IFERROR(__xludf.DUMMYFUNCTION("""COMPUTED_VALUE"""),"Морозов")</f>
        <v>Морозов</v>
      </c>
      <c r="C130" t="str">
        <f ca="1">IFERROR(__xludf.DUMMYFUNCTION("""COMPUTED_VALUE"""),"Артём")</f>
        <v>Артём</v>
      </c>
      <c r="D130" t="str">
        <f ca="1">IFERROR(__xludf.DUMMYFUNCTION("""COMPUTED_VALUE"""),"Лицей 470")</f>
        <v>Лицей 470</v>
      </c>
      <c r="E130" s="5">
        <f ca="1">IFERROR(__xludf.DUMMYFUNCTION("""COMPUTED_VALUE"""),2)</f>
        <v>2</v>
      </c>
      <c r="F130" s="5">
        <f ca="1">IFERROR(__xludf.DUMMYFUNCTION("""COMPUTED_VALUE"""),4)</f>
        <v>4</v>
      </c>
      <c r="G130" s="5">
        <f ca="1">IFERROR(__xludf.DUMMYFUNCTION("""COMPUTED_VALUE"""),4)</f>
        <v>4</v>
      </c>
      <c r="H130" s="5">
        <f ca="1">IFERROR(__xludf.DUMMYFUNCTION("""COMPUTED_VALUE"""),2)</f>
        <v>2</v>
      </c>
      <c r="I130" s="5">
        <f ca="1">IFERROR(__xludf.DUMMYFUNCTION("""COMPUTED_VALUE"""),0)</f>
        <v>0</v>
      </c>
      <c r="J130" s="5">
        <f ca="1">IFERROR(__xludf.DUMMYFUNCTION("""COMPUTED_VALUE"""),0)</f>
        <v>0</v>
      </c>
      <c r="K130" s="5">
        <f ca="1">IFERROR(__xludf.DUMMYFUNCTION("""COMPUTED_VALUE"""),0)</f>
        <v>0</v>
      </c>
      <c r="L130" s="5">
        <f ca="1">IFERROR(__xludf.DUMMYFUNCTION("""COMPUTED_VALUE"""),0)</f>
        <v>0</v>
      </c>
      <c r="M130">
        <f ca="1">IFERROR(__xludf.DUMMYFUNCTION("""COMPUTED_VALUE"""),12)</f>
        <v>12</v>
      </c>
      <c r="N130" s="8"/>
    </row>
    <row r="131" spans="1:14" ht="12.45" hidden="1">
      <c r="A131" t="str">
        <f ca="1">IFERROR(__xludf.DUMMYFUNCTION("""COMPUTED_VALUE"""),"III-2-154")</f>
        <v>III-2-154</v>
      </c>
      <c r="B131" t="str">
        <f ca="1">IFERROR(__xludf.DUMMYFUNCTION("""COMPUTED_VALUE"""),"Ефременков")</f>
        <v>Ефременков</v>
      </c>
      <c r="C131" t="str">
        <f ca="1">IFERROR(__xludf.DUMMYFUNCTION("""COMPUTED_VALUE"""),"Александр")</f>
        <v>Александр</v>
      </c>
      <c r="D131" t="str">
        <f ca="1">IFERROR(__xludf.DUMMYFUNCTION("""COMPUTED_VALUE"""),"Школа 138")</f>
        <v>Школа 138</v>
      </c>
      <c r="E131" s="5">
        <f ca="1">IFERROR(__xludf.DUMMYFUNCTION("""COMPUTED_VALUE"""),3)</f>
        <v>3</v>
      </c>
      <c r="F131" s="5">
        <f ca="1">IFERROR(__xludf.DUMMYFUNCTION("""COMPUTED_VALUE"""),4)</f>
        <v>4</v>
      </c>
      <c r="G131" s="5">
        <f ca="1">IFERROR(__xludf.DUMMYFUNCTION("""COMPUTED_VALUE"""),0)</f>
        <v>0</v>
      </c>
      <c r="H131" s="5">
        <f ca="1">IFERROR(__xludf.DUMMYFUNCTION("""COMPUTED_VALUE"""),0)</f>
        <v>0</v>
      </c>
      <c r="I131" s="5">
        <f ca="1">IFERROR(__xludf.DUMMYFUNCTION("""COMPUTED_VALUE"""),1)</f>
        <v>1</v>
      </c>
      <c r="J131" s="5">
        <f ca="1">IFERROR(__xludf.DUMMYFUNCTION("""COMPUTED_VALUE"""),3)</f>
        <v>3</v>
      </c>
      <c r="K131" s="5">
        <f ca="1">IFERROR(__xludf.DUMMYFUNCTION("""COMPUTED_VALUE"""),0)</f>
        <v>0</v>
      </c>
      <c r="L131" s="5">
        <f ca="1">IFERROR(__xludf.DUMMYFUNCTION("""COMPUTED_VALUE"""),0)</f>
        <v>0</v>
      </c>
      <c r="M131">
        <f ca="1">IFERROR(__xludf.DUMMYFUNCTION("""COMPUTED_VALUE"""),11)</f>
        <v>11</v>
      </c>
      <c r="N131" s="8"/>
    </row>
    <row r="132" spans="1:14" ht="12.45" hidden="1">
      <c r="A132" t="str">
        <f ca="1">IFERROR(__xludf.DUMMYFUNCTION("""COMPUTED_VALUE"""),"V-2-476")</f>
        <v>V-2-476</v>
      </c>
      <c r="B132" t="str">
        <f ca="1">IFERROR(__xludf.DUMMYFUNCTION("""COMPUTED_VALUE"""),"Якимов")</f>
        <v>Якимов</v>
      </c>
      <c r="C132" t="str">
        <f ca="1">IFERROR(__xludf.DUMMYFUNCTION("""COMPUTED_VALUE"""),"Марк")</f>
        <v>Марк</v>
      </c>
      <c r="D132" t="str">
        <f ca="1">IFERROR(__xludf.DUMMYFUNCTION("""COMPUTED_VALUE"""),"Гимназия 631")</f>
        <v>Гимназия 631</v>
      </c>
      <c r="E132" s="5">
        <f ca="1">IFERROR(__xludf.DUMMYFUNCTION("""COMPUTED_VALUE"""),3)</f>
        <v>3</v>
      </c>
      <c r="F132" s="5">
        <f ca="1">IFERROR(__xludf.DUMMYFUNCTION("""COMPUTED_VALUE"""),1)</f>
        <v>1</v>
      </c>
      <c r="G132" s="5">
        <f ca="1">IFERROR(__xludf.DUMMYFUNCTION("""COMPUTED_VALUE"""),4)</f>
        <v>4</v>
      </c>
      <c r="H132" s="5">
        <f ca="1">IFERROR(__xludf.DUMMYFUNCTION("""COMPUTED_VALUE"""),0)</f>
        <v>0</v>
      </c>
      <c r="I132" s="5">
        <f ca="1">IFERROR(__xludf.DUMMYFUNCTION("""COMPUTED_VALUE"""),0)</f>
        <v>0</v>
      </c>
      <c r="J132" s="5">
        <f ca="1">IFERROR(__xludf.DUMMYFUNCTION("""COMPUTED_VALUE"""),3)</f>
        <v>3</v>
      </c>
      <c r="K132" s="5">
        <f ca="1">IFERROR(__xludf.DUMMYFUNCTION("""COMPUTED_VALUE"""),0)</f>
        <v>0</v>
      </c>
      <c r="L132" s="5">
        <f ca="1">IFERROR(__xludf.DUMMYFUNCTION("""COMPUTED_VALUE"""),0)</f>
        <v>0</v>
      </c>
      <c r="M132">
        <f ca="1">IFERROR(__xludf.DUMMYFUNCTION("""COMPUTED_VALUE"""),11)</f>
        <v>11</v>
      </c>
      <c r="N132" s="8"/>
    </row>
    <row r="133" spans="1:14" ht="12.45" hidden="1">
      <c r="A133" t="str">
        <f ca="1">IFERROR(__xludf.DUMMYFUNCTION("""COMPUTED_VALUE"""),"III-2-119")</f>
        <v>III-2-119</v>
      </c>
      <c r="B133" t="str">
        <f ca="1">IFERROR(__xludf.DUMMYFUNCTION("""COMPUTED_VALUE"""),"Губин")</f>
        <v>Губин</v>
      </c>
      <c r="C133" t="str">
        <f ca="1">IFERROR(__xludf.DUMMYFUNCTION("""COMPUTED_VALUE"""),"Фёдор")</f>
        <v>Фёдор</v>
      </c>
      <c r="D133" t="str">
        <f ca="1">IFERROR(__xludf.DUMMYFUNCTION("""COMPUTED_VALUE"""),"Лицей 344")</f>
        <v>Лицей 344</v>
      </c>
      <c r="E133" s="5">
        <f ca="1">IFERROR(__xludf.DUMMYFUNCTION("""COMPUTED_VALUE"""),3)</f>
        <v>3</v>
      </c>
      <c r="F133" s="5">
        <f ca="1">IFERROR(__xludf.DUMMYFUNCTION("""COMPUTED_VALUE"""),1)</f>
        <v>1</v>
      </c>
      <c r="G133" s="5">
        <f ca="1">IFERROR(__xludf.DUMMYFUNCTION("""COMPUTED_VALUE"""),4)</f>
        <v>4</v>
      </c>
      <c r="H133" s="5">
        <f ca="1">IFERROR(__xludf.DUMMYFUNCTION("""COMPUTED_VALUE"""),0)</f>
        <v>0</v>
      </c>
      <c r="I133" s="5">
        <f ca="1">IFERROR(__xludf.DUMMYFUNCTION("""COMPUTED_VALUE"""),1)</f>
        <v>1</v>
      </c>
      <c r="J133" s="5">
        <f ca="1">IFERROR(__xludf.DUMMYFUNCTION("""COMPUTED_VALUE"""),2)</f>
        <v>2</v>
      </c>
      <c r="K133" s="5">
        <f ca="1">IFERROR(__xludf.DUMMYFUNCTION("""COMPUTED_VALUE"""),0)</f>
        <v>0</v>
      </c>
      <c r="L133" s="5">
        <f ca="1">IFERROR(__xludf.DUMMYFUNCTION("""COMPUTED_VALUE"""),0)</f>
        <v>0</v>
      </c>
      <c r="M133">
        <f ca="1">IFERROR(__xludf.DUMMYFUNCTION("""COMPUTED_VALUE"""),11)</f>
        <v>11</v>
      </c>
      <c r="N133" s="8"/>
    </row>
    <row r="134" spans="1:14" ht="12.45" hidden="1">
      <c r="A134" t="str">
        <f ca="1">IFERROR(__xludf.DUMMYFUNCTION("""COMPUTED_VALUE"""),"III-2-159")</f>
        <v>III-2-159</v>
      </c>
      <c r="B134" t="str">
        <f ca="1">IFERROR(__xludf.DUMMYFUNCTION("""COMPUTED_VALUE"""),"Живлюк")</f>
        <v>Живлюк</v>
      </c>
      <c r="C134" t="str">
        <f ca="1">IFERROR(__xludf.DUMMYFUNCTION("""COMPUTED_VALUE"""),"Анастасия")</f>
        <v>Анастасия</v>
      </c>
      <c r="D134" t="str">
        <f ca="1">IFERROR(__xludf.DUMMYFUNCTION("""COMPUTED_VALUE"""),"Гимназия 271")</f>
        <v>Гимназия 271</v>
      </c>
      <c r="E134" s="5">
        <f ca="1">IFERROR(__xludf.DUMMYFUNCTION("""COMPUTED_VALUE"""),1)</f>
        <v>1</v>
      </c>
      <c r="F134" s="5">
        <f ca="1">IFERROR(__xludf.DUMMYFUNCTION("""COMPUTED_VALUE"""),4)</f>
        <v>4</v>
      </c>
      <c r="G134" s="5">
        <f ca="1">IFERROR(__xludf.DUMMYFUNCTION("""COMPUTED_VALUE"""),4)</f>
        <v>4</v>
      </c>
      <c r="H134" s="5">
        <f ca="1">IFERROR(__xludf.DUMMYFUNCTION("""COMPUTED_VALUE"""),0)</f>
        <v>0</v>
      </c>
      <c r="I134" s="5">
        <f ca="1">IFERROR(__xludf.DUMMYFUNCTION("""COMPUTED_VALUE"""),0)</f>
        <v>0</v>
      </c>
      <c r="J134" s="5">
        <f ca="1">IFERROR(__xludf.DUMMYFUNCTION("""COMPUTED_VALUE"""),2)</f>
        <v>2</v>
      </c>
      <c r="K134" s="5">
        <f ca="1">IFERROR(__xludf.DUMMYFUNCTION("""COMPUTED_VALUE"""),0)</f>
        <v>0</v>
      </c>
      <c r="L134" s="5">
        <f ca="1">IFERROR(__xludf.DUMMYFUNCTION("""COMPUTED_VALUE"""),0)</f>
        <v>0</v>
      </c>
      <c r="M134">
        <f ca="1">IFERROR(__xludf.DUMMYFUNCTION("""COMPUTED_VALUE"""),11)</f>
        <v>11</v>
      </c>
      <c r="N134" s="8"/>
    </row>
    <row r="135" spans="1:14" ht="12.45" hidden="1">
      <c r="A135" t="str">
        <f ca="1">IFERROR(__xludf.DUMMYFUNCTION("""COMPUTED_VALUE"""),"III-2-181")</f>
        <v>III-2-181</v>
      </c>
      <c r="B135" t="str">
        <f ca="1">IFERROR(__xludf.DUMMYFUNCTION("""COMPUTED_VALUE"""),"Инюшина")</f>
        <v>Инюшина</v>
      </c>
      <c r="C135" t="str">
        <f ca="1">IFERROR(__xludf.DUMMYFUNCTION("""COMPUTED_VALUE"""),"Юлия")</f>
        <v>Юлия</v>
      </c>
      <c r="D135" t="str">
        <f ca="1">IFERROR(__xludf.DUMMYFUNCTION("""COMPUTED_VALUE"""),"Школа 683")</f>
        <v>Школа 683</v>
      </c>
      <c r="E135" s="5">
        <f ca="1">IFERROR(__xludf.DUMMYFUNCTION("""COMPUTED_VALUE"""),3)</f>
        <v>3</v>
      </c>
      <c r="F135" s="5">
        <f ca="1">IFERROR(__xludf.DUMMYFUNCTION("""COMPUTED_VALUE"""),4)</f>
        <v>4</v>
      </c>
      <c r="G135" s="5">
        <f ca="1">IFERROR(__xludf.DUMMYFUNCTION("""COMPUTED_VALUE"""),2)</f>
        <v>2</v>
      </c>
      <c r="H135" s="5">
        <f ca="1">IFERROR(__xludf.DUMMYFUNCTION("""COMPUTED_VALUE"""),0)</f>
        <v>0</v>
      </c>
      <c r="I135" s="5">
        <f ca="1">IFERROR(__xludf.DUMMYFUNCTION("""COMPUTED_VALUE"""),0)</f>
        <v>0</v>
      </c>
      <c r="J135" s="5">
        <f ca="1">IFERROR(__xludf.DUMMYFUNCTION("""COMPUTED_VALUE"""),2)</f>
        <v>2</v>
      </c>
      <c r="K135" s="5">
        <f ca="1">IFERROR(__xludf.DUMMYFUNCTION("""COMPUTED_VALUE"""),0)</f>
        <v>0</v>
      </c>
      <c r="L135" s="5">
        <f ca="1">IFERROR(__xludf.DUMMYFUNCTION("""COMPUTED_VALUE"""),0)</f>
        <v>0</v>
      </c>
      <c r="M135">
        <f ca="1">IFERROR(__xludf.DUMMYFUNCTION("""COMPUTED_VALUE"""),11)</f>
        <v>11</v>
      </c>
      <c r="N135" s="8"/>
    </row>
    <row r="136" spans="1:14" ht="12.45" hidden="1">
      <c r="A136" t="str">
        <f ca="1">IFERROR(__xludf.DUMMYFUNCTION("""COMPUTED_VALUE"""),"V-2-358")</f>
        <v>V-2-358</v>
      </c>
      <c r="B136" t="str">
        <f ca="1">IFERROR(__xludf.DUMMYFUNCTION("""COMPUTED_VALUE"""),"Романова")</f>
        <v>Романова</v>
      </c>
      <c r="C136" t="str">
        <f ca="1">IFERROR(__xludf.DUMMYFUNCTION("""COMPUTED_VALUE"""),"Эмилия")</f>
        <v>Эмилия</v>
      </c>
      <c r="D136" t="str">
        <f ca="1">IFERROR(__xludf.DUMMYFUNCTION("""COMPUTED_VALUE"""),"Школа 222")</f>
        <v>Школа 222</v>
      </c>
      <c r="E136" s="5">
        <f ca="1">IFERROR(__xludf.DUMMYFUNCTION("""COMPUTED_VALUE"""),3)</f>
        <v>3</v>
      </c>
      <c r="F136" s="5">
        <f ca="1">IFERROR(__xludf.DUMMYFUNCTION("""COMPUTED_VALUE"""),0)</f>
        <v>0</v>
      </c>
      <c r="G136" s="5">
        <f ca="1">IFERROR(__xludf.DUMMYFUNCTION("""COMPUTED_VALUE"""),0)</f>
        <v>0</v>
      </c>
      <c r="H136" s="5">
        <f ca="1">IFERROR(__xludf.DUMMYFUNCTION("""COMPUTED_VALUE"""),3)</f>
        <v>3</v>
      </c>
      <c r="I136" s="5">
        <f ca="1">IFERROR(__xludf.DUMMYFUNCTION("""COMPUTED_VALUE"""),5)</f>
        <v>5</v>
      </c>
      <c r="J136" s="5">
        <f ca="1">IFERROR(__xludf.DUMMYFUNCTION("""COMPUTED_VALUE"""),0)</f>
        <v>0</v>
      </c>
      <c r="K136" s="5">
        <f ca="1">IFERROR(__xludf.DUMMYFUNCTION("""COMPUTED_VALUE"""),0)</f>
        <v>0</v>
      </c>
      <c r="L136" s="5">
        <f ca="1">IFERROR(__xludf.DUMMYFUNCTION("""COMPUTED_VALUE"""),0)</f>
        <v>0</v>
      </c>
      <c r="M136">
        <f ca="1">IFERROR(__xludf.DUMMYFUNCTION("""COMPUTED_VALUE"""),11)</f>
        <v>11</v>
      </c>
      <c r="N136" s="8"/>
    </row>
    <row r="137" spans="1:14" ht="12.45" hidden="1">
      <c r="A137" t="str">
        <f ca="1">IFERROR(__xludf.DUMMYFUNCTION("""COMPUTED_VALUE"""),"III-2-108")</f>
        <v>III-2-108</v>
      </c>
      <c r="B137" t="str">
        <f ca="1">IFERROR(__xludf.DUMMYFUNCTION("""COMPUTED_VALUE"""),"Грехов")</f>
        <v>Грехов</v>
      </c>
      <c r="C137" t="str">
        <f ca="1">IFERROR(__xludf.DUMMYFUNCTION("""COMPUTED_VALUE"""),"Фёдор")</f>
        <v>Фёдор</v>
      </c>
      <c r="D137" t="str">
        <f ca="1">IFERROR(__xludf.DUMMYFUNCTION("""COMPUTED_VALUE"""),"Школа 26")</f>
        <v>Школа 26</v>
      </c>
      <c r="E137" s="5">
        <f ca="1">IFERROR(__xludf.DUMMYFUNCTION("""COMPUTED_VALUE"""),3)</f>
        <v>3</v>
      </c>
      <c r="F137" s="5">
        <f ca="1">IFERROR(__xludf.DUMMYFUNCTION("""COMPUTED_VALUE"""),0)</f>
        <v>0</v>
      </c>
      <c r="G137" s="5">
        <f ca="1">IFERROR(__xludf.DUMMYFUNCTION("""COMPUTED_VALUE"""),4)</f>
        <v>4</v>
      </c>
      <c r="H137" s="5">
        <f ca="1">IFERROR(__xludf.DUMMYFUNCTION("""COMPUTED_VALUE"""),0)</f>
        <v>0</v>
      </c>
      <c r="I137" s="5">
        <f ca="1">IFERROR(__xludf.DUMMYFUNCTION("""COMPUTED_VALUE"""),4)</f>
        <v>4</v>
      </c>
      <c r="J137" s="5">
        <f ca="1">IFERROR(__xludf.DUMMYFUNCTION("""COMPUTED_VALUE"""),0)</f>
        <v>0</v>
      </c>
      <c r="K137" s="5">
        <f ca="1">IFERROR(__xludf.DUMMYFUNCTION("""COMPUTED_VALUE"""),0)</f>
        <v>0</v>
      </c>
      <c r="L137" s="5">
        <f ca="1">IFERROR(__xludf.DUMMYFUNCTION("""COMPUTED_VALUE"""),0)</f>
        <v>0</v>
      </c>
      <c r="M137">
        <f ca="1">IFERROR(__xludf.DUMMYFUNCTION("""COMPUTED_VALUE"""),11)</f>
        <v>11</v>
      </c>
      <c r="N137" s="8"/>
    </row>
    <row r="138" spans="1:14" ht="12.45" hidden="1">
      <c r="A138" t="str">
        <f ca="1">IFERROR(__xludf.DUMMYFUNCTION("""COMPUTED_VALUE"""),"III-2-130")</f>
        <v>III-2-130</v>
      </c>
      <c r="B138" t="str">
        <f ca="1">IFERROR(__xludf.DUMMYFUNCTION("""COMPUTED_VALUE"""),"Демчич")</f>
        <v>Демчич</v>
      </c>
      <c r="C138" t="str">
        <f ca="1">IFERROR(__xludf.DUMMYFUNCTION("""COMPUTED_VALUE"""),"Екатерина")</f>
        <v>Екатерина</v>
      </c>
      <c r="D138" t="str">
        <f ca="1">IFERROR(__xludf.DUMMYFUNCTION("""COMPUTED_VALUE"""),"Школа Квадривиум")</f>
        <v>Школа Квадривиум</v>
      </c>
      <c r="E138" s="5">
        <f ca="1">IFERROR(__xludf.DUMMYFUNCTION("""COMPUTED_VALUE"""),3)</f>
        <v>3</v>
      </c>
      <c r="F138" s="5">
        <f ca="1">IFERROR(__xludf.DUMMYFUNCTION("""COMPUTED_VALUE"""),0)</f>
        <v>0</v>
      </c>
      <c r="G138" s="5">
        <f ca="1">IFERROR(__xludf.DUMMYFUNCTION("""COMPUTED_VALUE"""),4)</f>
        <v>4</v>
      </c>
      <c r="H138" s="5">
        <f ca="1">IFERROR(__xludf.DUMMYFUNCTION("""COMPUTED_VALUE"""),3)</f>
        <v>3</v>
      </c>
      <c r="I138" s="5">
        <f ca="1">IFERROR(__xludf.DUMMYFUNCTION("""COMPUTED_VALUE"""),1)</f>
        <v>1</v>
      </c>
      <c r="J138" s="5">
        <f ca="1">IFERROR(__xludf.DUMMYFUNCTION("""COMPUTED_VALUE"""),0)</f>
        <v>0</v>
      </c>
      <c r="K138" s="5">
        <f ca="1">IFERROR(__xludf.DUMMYFUNCTION("""COMPUTED_VALUE"""),0)</f>
        <v>0</v>
      </c>
      <c r="L138" s="5">
        <f ca="1">IFERROR(__xludf.DUMMYFUNCTION("""COMPUTED_VALUE"""),0)</f>
        <v>0</v>
      </c>
      <c r="M138">
        <f ca="1">IFERROR(__xludf.DUMMYFUNCTION("""COMPUTED_VALUE"""),11)</f>
        <v>11</v>
      </c>
      <c r="N138" s="8"/>
    </row>
    <row r="139" spans="1:14" ht="12.45" hidden="1">
      <c r="A139" t="str">
        <f ca="1">IFERROR(__xludf.DUMMYFUNCTION("""COMPUTED_VALUE"""),"III-2-138")</f>
        <v>III-2-138</v>
      </c>
      <c r="B139" t="str">
        <f ca="1">IFERROR(__xludf.DUMMYFUNCTION("""COMPUTED_VALUE"""),"Достова")</f>
        <v>Достова</v>
      </c>
      <c r="C139" t="str">
        <f ca="1">IFERROR(__xludf.DUMMYFUNCTION("""COMPUTED_VALUE"""),"Елизавета")</f>
        <v>Елизавета</v>
      </c>
      <c r="D139" t="str">
        <f ca="1">IFERROR(__xludf.DUMMYFUNCTION("""COMPUTED_VALUE"""),"Лицей 597")</f>
        <v>Лицей 597</v>
      </c>
      <c r="E139" s="5">
        <f ca="1">IFERROR(__xludf.DUMMYFUNCTION("""COMPUTED_VALUE"""),2)</f>
        <v>2</v>
      </c>
      <c r="F139" s="5">
        <f ca="1">IFERROR(__xludf.DUMMYFUNCTION("""COMPUTED_VALUE"""),4)</f>
        <v>4</v>
      </c>
      <c r="G139" s="5">
        <f ca="1">IFERROR(__xludf.DUMMYFUNCTION("""COMPUTED_VALUE"""),4)</f>
        <v>4</v>
      </c>
      <c r="H139" s="5">
        <f ca="1">IFERROR(__xludf.DUMMYFUNCTION("""COMPUTED_VALUE"""),0)</f>
        <v>0</v>
      </c>
      <c r="I139" s="5">
        <f ca="1">IFERROR(__xludf.DUMMYFUNCTION("""COMPUTED_VALUE"""),1)</f>
        <v>1</v>
      </c>
      <c r="J139" s="5">
        <f ca="1">IFERROR(__xludf.DUMMYFUNCTION("""COMPUTED_VALUE"""),0)</f>
        <v>0</v>
      </c>
      <c r="K139" s="5">
        <f ca="1">IFERROR(__xludf.DUMMYFUNCTION("""COMPUTED_VALUE"""),0)</f>
        <v>0</v>
      </c>
      <c r="L139" s="5">
        <f ca="1">IFERROR(__xludf.DUMMYFUNCTION("""COMPUTED_VALUE"""),0)</f>
        <v>0</v>
      </c>
      <c r="M139">
        <f ca="1">IFERROR(__xludf.DUMMYFUNCTION("""COMPUTED_VALUE"""),11)</f>
        <v>11</v>
      </c>
      <c r="N139" s="8"/>
    </row>
    <row r="140" spans="1:14" ht="12.45" hidden="1">
      <c r="A140" t="str">
        <f ca="1">IFERROR(__xludf.DUMMYFUNCTION("""COMPUTED_VALUE"""),"III-2-036")</f>
        <v>III-2-036</v>
      </c>
      <c r="B140" t="str">
        <f ca="1">IFERROR(__xludf.DUMMYFUNCTION("""COMPUTED_VALUE"""),"Баранова")</f>
        <v>Баранова</v>
      </c>
      <c r="C140" t="str">
        <f ca="1">IFERROR(__xludf.DUMMYFUNCTION("""COMPUTED_VALUE"""),"Евгения")</f>
        <v>Евгения</v>
      </c>
      <c r="D140" t="str">
        <f ca="1">IFERROR(__xludf.DUMMYFUNCTION("""COMPUTED_VALUE"""),"Лицей 470")</f>
        <v>Лицей 470</v>
      </c>
      <c r="E140" s="5">
        <f ca="1">IFERROR(__xludf.DUMMYFUNCTION("""COMPUTED_VALUE"""),3)</f>
        <v>3</v>
      </c>
      <c r="F140" s="5">
        <f ca="1">IFERROR(__xludf.DUMMYFUNCTION("""COMPUTED_VALUE"""),1)</f>
        <v>1</v>
      </c>
      <c r="G140" s="5">
        <f ca="1">IFERROR(__xludf.DUMMYFUNCTION("""COMPUTED_VALUE"""),4)</f>
        <v>4</v>
      </c>
      <c r="H140" s="5">
        <f ca="1">IFERROR(__xludf.DUMMYFUNCTION("""COMPUTED_VALUE"""),3)</f>
        <v>3</v>
      </c>
      <c r="I140" s="5">
        <f ca="1">IFERROR(__xludf.DUMMYFUNCTION("""COMPUTED_VALUE"""),0)</f>
        <v>0</v>
      </c>
      <c r="J140" s="5">
        <f ca="1">IFERROR(__xludf.DUMMYFUNCTION("""COMPUTED_VALUE"""),0)</f>
        <v>0</v>
      </c>
      <c r="K140" s="5">
        <f ca="1">IFERROR(__xludf.DUMMYFUNCTION("""COMPUTED_VALUE"""),0)</f>
        <v>0</v>
      </c>
      <c r="L140" s="5">
        <f ca="1">IFERROR(__xludf.DUMMYFUNCTION("""COMPUTED_VALUE"""),0)</f>
        <v>0</v>
      </c>
      <c r="M140">
        <f ca="1">IFERROR(__xludf.DUMMYFUNCTION("""COMPUTED_VALUE"""),11)</f>
        <v>11</v>
      </c>
      <c r="N140" s="8"/>
    </row>
    <row r="141" spans="1:14" ht="12.45" hidden="1">
      <c r="A141" t="str">
        <f ca="1">IFERROR(__xludf.DUMMYFUNCTION("""COMPUTED_VALUE"""),"V-2-385")</f>
        <v>V-2-385</v>
      </c>
      <c r="B141" t="str">
        <f ca="1">IFERROR(__xludf.DUMMYFUNCTION("""COMPUTED_VALUE"""),"Силкин")</f>
        <v>Силкин</v>
      </c>
      <c r="C141" t="str">
        <f ca="1">IFERROR(__xludf.DUMMYFUNCTION("""COMPUTED_VALUE"""),"Петр")</f>
        <v>Петр</v>
      </c>
      <c r="D141" t="str">
        <f ca="1">IFERROR(__xludf.DUMMYFUNCTION("""COMPUTED_VALUE"""),"Школа Квадривиум")</f>
        <v>Школа Квадривиум</v>
      </c>
      <c r="E141" s="5">
        <f ca="1">IFERROR(__xludf.DUMMYFUNCTION("""COMPUTED_VALUE"""),1)</f>
        <v>1</v>
      </c>
      <c r="F141" s="5">
        <f ca="1">IFERROR(__xludf.DUMMYFUNCTION("""COMPUTED_VALUE"""),4)</f>
        <v>4</v>
      </c>
      <c r="G141" s="5">
        <f ca="1">IFERROR(__xludf.DUMMYFUNCTION("""COMPUTED_VALUE"""),4)</f>
        <v>4</v>
      </c>
      <c r="H141" s="5">
        <f ca="1">IFERROR(__xludf.DUMMYFUNCTION("""COMPUTED_VALUE"""),2)</f>
        <v>2</v>
      </c>
      <c r="I141" s="5">
        <f ca="1">IFERROR(__xludf.DUMMYFUNCTION("""COMPUTED_VALUE"""),0)</f>
        <v>0</v>
      </c>
      <c r="J141" s="5">
        <f ca="1">IFERROR(__xludf.DUMMYFUNCTION("""COMPUTED_VALUE"""),0)</f>
        <v>0</v>
      </c>
      <c r="K141" s="5">
        <f ca="1">IFERROR(__xludf.DUMMYFUNCTION("""COMPUTED_VALUE"""),0)</f>
        <v>0</v>
      </c>
      <c r="L141" s="5">
        <f ca="1">IFERROR(__xludf.DUMMYFUNCTION("""COMPUTED_VALUE"""),0)</f>
        <v>0</v>
      </c>
      <c r="M141">
        <f ca="1">IFERROR(__xludf.DUMMYFUNCTION("""COMPUTED_VALUE"""),11)</f>
        <v>11</v>
      </c>
      <c r="N141" s="8"/>
    </row>
    <row r="142" spans="1:14" ht="12.45" hidden="1">
      <c r="A142" t="str">
        <f ca="1">IFERROR(__xludf.DUMMYFUNCTION("""COMPUTED_VALUE"""),"III-2-021")</f>
        <v>III-2-021</v>
      </c>
      <c r="B142" t="str">
        <f ca="1">IFERROR(__xludf.DUMMYFUNCTION("""COMPUTED_VALUE"""),"Артамошина")</f>
        <v>Артамошина</v>
      </c>
      <c r="C142" t="str">
        <f ca="1">IFERROR(__xludf.DUMMYFUNCTION("""COMPUTED_VALUE"""),"Виктория")</f>
        <v>Виктория</v>
      </c>
      <c r="D142" t="str">
        <f ca="1">IFERROR(__xludf.DUMMYFUNCTION("""COMPUTED_VALUE"""),"Школа 111")</f>
        <v>Школа 111</v>
      </c>
      <c r="E142" s="5">
        <f ca="1">IFERROR(__xludf.DUMMYFUNCTION("""COMPUTED_VALUE"""),3)</f>
        <v>3</v>
      </c>
      <c r="F142" s="5">
        <f ca="1">IFERROR(__xludf.DUMMYFUNCTION("""COMPUTED_VALUE"""),4)</f>
        <v>4</v>
      </c>
      <c r="G142" s="5">
        <f ca="1">IFERROR(__xludf.DUMMYFUNCTION("""COMPUTED_VALUE"""),4)</f>
        <v>4</v>
      </c>
      <c r="H142" s="5">
        <f ca="1">IFERROR(__xludf.DUMMYFUNCTION("""COMPUTED_VALUE"""),0)</f>
        <v>0</v>
      </c>
      <c r="I142" s="5">
        <f ca="1">IFERROR(__xludf.DUMMYFUNCTION("""COMPUTED_VALUE"""),0)</f>
        <v>0</v>
      </c>
      <c r="J142" s="5">
        <f ca="1">IFERROR(__xludf.DUMMYFUNCTION("""COMPUTED_VALUE"""),0)</f>
        <v>0</v>
      </c>
      <c r="K142" s="5">
        <f ca="1">IFERROR(__xludf.DUMMYFUNCTION("""COMPUTED_VALUE"""),0)</f>
        <v>0</v>
      </c>
      <c r="L142" s="5">
        <f ca="1">IFERROR(__xludf.DUMMYFUNCTION("""COMPUTED_VALUE"""),0)</f>
        <v>0</v>
      </c>
      <c r="M142">
        <f ca="1">IFERROR(__xludf.DUMMYFUNCTION("""COMPUTED_VALUE"""),11)</f>
        <v>11</v>
      </c>
      <c r="N142" s="8"/>
    </row>
    <row r="143" spans="1:14" ht="12.45" hidden="1">
      <c r="A143" t="str">
        <f ca="1">IFERROR(__xludf.DUMMYFUNCTION("""COMPUTED_VALUE"""),"III-2-140")</f>
        <v>III-2-140</v>
      </c>
      <c r="B143" t="str">
        <f ca="1">IFERROR(__xludf.DUMMYFUNCTION("""COMPUTED_VALUE"""),"Дубков")</f>
        <v>Дубков</v>
      </c>
      <c r="C143" t="str">
        <f ca="1">IFERROR(__xludf.DUMMYFUNCTION("""COMPUTED_VALUE"""),"Михаил")</f>
        <v>Михаил</v>
      </c>
      <c r="D143" t="str">
        <f ca="1">IFERROR(__xludf.DUMMYFUNCTION("""COMPUTED_VALUE"""),"Школа 333")</f>
        <v>Школа 333</v>
      </c>
      <c r="E143" s="5">
        <f ca="1">IFERROR(__xludf.DUMMYFUNCTION("""COMPUTED_VALUE"""),3)</f>
        <v>3</v>
      </c>
      <c r="F143" s="5">
        <f ca="1">IFERROR(__xludf.DUMMYFUNCTION("""COMPUTED_VALUE"""),4)</f>
        <v>4</v>
      </c>
      <c r="G143" s="5">
        <f ca="1">IFERROR(__xludf.DUMMYFUNCTION("""COMPUTED_VALUE"""),4)</f>
        <v>4</v>
      </c>
      <c r="H143" s="5">
        <f ca="1">IFERROR(__xludf.DUMMYFUNCTION("""COMPUTED_VALUE"""),0)</f>
        <v>0</v>
      </c>
      <c r="I143" s="5">
        <f ca="1">IFERROR(__xludf.DUMMYFUNCTION("""COMPUTED_VALUE"""),0)</f>
        <v>0</v>
      </c>
      <c r="J143" s="5">
        <f ca="1">IFERROR(__xludf.DUMMYFUNCTION("""COMPUTED_VALUE"""),0)</f>
        <v>0</v>
      </c>
      <c r="K143" s="5">
        <f ca="1">IFERROR(__xludf.DUMMYFUNCTION("""COMPUTED_VALUE"""),0)</f>
        <v>0</v>
      </c>
      <c r="L143" s="5">
        <f ca="1">IFERROR(__xludf.DUMMYFUNCTION("""COMPUTED_VALUE"""),0)</f>
        <v>0</v>
      </c>
      <c r="M143">
        <f ca="1">IFERROR(__xludf.DUMMYFUNCTION("""COMPUTED_VALUE"""),11)</f>
        <v>11</v>
      </c>
      <c r="N143" s="8"/>
    </row>
    <row r="144" spans="1:14" ht="12.45" hidden="1">
      <c r="A144" t="str">
        <f ca="1">IFERROR(__xludf.DUMMYFUNCTION("""COMPUTED_VALUE"""),"III-2-200")</f>
        <v>III-2-200</v>
      </c>
      <c r="B144" t="str">
        <f ca="1">IFERROR(__xludf.DUMMYFUNCTION("""COMPUTED_VALUE"""),"Кивель")</f>
        <v>Кивель</v>
      </c>
      <c r="C144" t="str">
        <f ca="1">IFERROR(__xludf.DUMMYFUNCTION("""COMPUTED_VALUE"""),"Артём")</f>
        <v>Артём</v>
      </c>
      <c r="D144" t="str">
        <f ca="1">IFERROR(__xludf.DUMMYFUNCTION("""COMPUTED_VALUE"""),"Школа 555")</f>
        <v>Школа 555</v>
      </c>
      <c r="E144" s="5">
        <f ca="1">IFERROR(__xludf.DUMMYFUNCTION("""COMPUTED_VALUE"""),3)</f>
        <v>3</v>
      </c>
      <c r="F144" s="5">
        <f ca="1">IFERROR(__xludf.DUMMYFUNCTION("""COMPUTED_VALUE"""),4)</f>
        <v>4</v>
      </c>
      <c r="G144" s="5">
        <f ca="1">IFERROR(__xludf.DUMMYFUNCTION("""COMPUTED_VALUE"""),4)</f>
        <v>4</v>
      </c>
      <c r="H144" s="5">
        <f ca="1">IFERROR(__xludf.DUMMYFUNCTION("""COMPUTED_VALUE"""),0)</f>
        <v>0</v>
      </c>
      <c r="I144" s="5">
        <f ca="1">IFERROR(__xludf.DUMMYFUNCTION("""COMPUTED_VALUE"""),0)</f>
        <v>0</v>
      </c>
      <c r="J144" s="5">
        <f ca="1">IFERROR(__xludf.DUMMYFUNCTION("""COMPUTED_VALUE"""),0)</f>
        <v>0</v>
      </c>
      <c r="K144" s="5">
        <f ca="1">IFERROR(__xludf.DUMMYFUNCTION("""COMPUTED_VALUE"""),0)</f>
        <v>0</v>
      </c>
      <c r="L144" s="5">
        <f ca="1">IFERROR(__xludf.DUMMYFUNCTION("""COMPUTED_VALUE"""),0)</f>
        <v>0</v>
      </c>
      <c r="M144">
        <f ca="1">IFERROR(__xludf.DUMMYFUNCTION("""COMPUTED_VALUE"""),11)</f>
        <v>11</v>
      </c>
      <c r="N144" s="8"/>
    </row>
    <row r="145" spans="1:14" ht="12.45" hidden="1">
      <c r="A145" t="str">
        <f ca="1">IFERROR(__xludf.DUMMYFUNCTION("""COMPUTED_VALUE"""),"V-2-257")</f>
        <v>V-2-257</v>
      </c>
      <c r="B145" t="str">
        <f ca="1">IFERROR(__xludf.DUMMYFUNCTION("""COMPUTED_VALUE"""),"Лотоцкий")</f>
        <v>Лотоцкий</v>
      </c>
      <c r="C145" t="str">
        <f ca="1">IFERROR(__xludf.DUMMYFUNCTION("""COMPUTED_VALUE"""),"Владислав")</f>
        <v>Владислав</v>
      </c>
      <c r="D145" t="str">
        <f ca="1">IFERROR(__xludf.DUMMYFUNCTION("""COMPUTED_VALUE"""),"Школа 207")</f>
        <v>Школа 207</v>
      </c>
      <c r="E145" s="5">
        <f ca="1">IFERROR(__xludf.DUMMYFUNCTION("""COMPUTED_VALUE"""),3)</f>
        <v>3</v>
      </c>
      <c r="F145" s="5">
        <f ca="1">IFERROR(__xludf.DUMMYFUNCTION("""COMPUTED_VALUE"""),4)</f>
        <v>4</v>
      </c>
      <c r="G145" s="5">
        <f ca="1">IFERROR(__xludf.DUMMYFUNCTION("""COMPUTED_VALUE"""),4)</f>
        <v>4</v>
      </c>
      <c r="H145" s="5">
        <f ca="1">IFERROR(__xludf.DUMMYFUNCTION("""COMPUTED_VALUE"""),0)</f>
        <v>0</v>
      </c>
      <c r="I145" s="5">
        <f ca="1">IFERROR(__xludf.DUMMYFUNCTION("""COMPUTED_VALUE"""),0)</f>
        <v>0</v>
      </c>
      <c r="J145" s="5">
        <f ca="1">IFERROR(__xludf.DUMMYFUNCTION("""COMPUTED_VALUE"""),0)</f>
        <v>0</v>
      </c>
      <c r="K145" s="5">
        <f ca="1">IFERROR(__xludf.DUMMYFUNCTION("""COMPUTED_VALUE"""),0)</f>
        <v>0</v>
      </c>
      <c r="L145" s="5">
        <f ca="1">IFERROR(__xludf.DUMMYFUNCTION("""COMPUTED_VALUE"""),0)</f>
        <v>0</v>
      </c>
      <c r="M145">
        <f ca="1">IFERROR(__xludf.DUMMYFUNCTION("""COMPUTED_VALUE"""),11)</f>
        <v>11</v>
      </c>
      <c r="N145" s="8"/>
    </row>
    <row r="146" spans="1:14" ht="12.45" hidden="1">
      <c r="A146" t="str">
        <f ca="1">IFERROR(__xludf.DUMMYFUNCTION("""COMPUTED_VALUE"""),"V-2-480")</f>
        <v>V-2-480</v>
      </c>
      <c r="B146" t="str">
        <f ca="1">IFERROR(__xludf.DUMMYFUNCTION("""COMPUTED_VALUE"""),"Ямов")</f>
        <v>Ямов</v>
      </c>
      <c r="C146" t="str">
        <f ca="1">IFERROR(__xludf.DUMMYFUNCTION("""COMPUTED_VALUE"""),"Игорь")</f>
        <v>Игорь</v>
      </c>
      <c r="D146" t="str">
        <f ca="1">IFERROR(__xludf.DUMMYFUNCTION("""COMPUTED_VALUE"""),"Гимназия 631")</f>
        <v>Гимназия 631</v>
      </c>
      <c r="E146" s="5">
        <f ca="1">IFERROR(__xludf.DUMMYFUNCTION("""COMPUTED_VALUE"""),3)</f>
        <v>3</v>
      </c>
      <c r="F146" s="5">
        <f ca="1">IFERROR(__xludf.DUMMYFUNCTION("""COMPUTED_VALUE"""),4)</f>
        <v>4</v>
      </c>
      <c r="G146" s="5">
        <f ca="1">IFERROR(__xludf.DUMMYFUNCTION("""COMPUTED_VALUE"""),4)</f>
        <v>4</v>
      </c>
      <c r="H146" s="5">
        <f ca="1">IFERROR(__xludf.DUMMYFUNCTION("""COMPUTED_VALUE"""),0)</f>
        <v>0</v>
      </c>
      <c r="I146" s="5">
        <f ca="1">IFERROR(__xludf.DUMMYFUNCTION("""COMPUTED_VALUE"""),0)</f>
        <v>0</v>
      </c>
      <c r="J146" s="5">
        <f ca="1">IFERROR(__xludf.DUMMYFUNCTION("""COMPUTED_VALUE"""),0)</f>
        <v>0</v>
      </c>
      <c r="K146" s="5">
        <f ca="1">IFERROR(__xludf.DUMMYFUNCTION("""COMPUTED_VALUE"""),0)</f>
        <v>0</v>
      </c>
      <c r="L146" s="5">
        <f ca="1">IFERROR(__xludf.DUMMYFUNCTION("""COMPUTED_VALUE"""),0)</f>
        <v>0</v>
      </c>
      <c r="M146">
        <f ca="1">IFERROR(__xludf.DUMMYFUNCTION("""COMPUTED_VALUE"""),11)</f>
        <v>11</v>
      </c>
      <c r="N146" s="8"/>
    </row>
    <row r="147" spans="1:14" ht="12.45" hidden="1">
      <c r="A147" t="str">
        <f ca="1">IFERROR(__xludf.DUMMYFUNCTION("""COMPUTED_VALUE"""),"V-2-327")</f>
        <v>V-2-327</v>
      </c>
      <c r="B147" t="str">
        <f ca="1">IFERROR(__xludf.DUMMYFUNCTION("""COMPUTED_VALUE"""),"Павлик")</f>
        <v>Павлик</v>
      </c>
      <c r="C147" t="str">
        <f ca="1">IFERROR(__xludf.DUMMYFUNCTION("""COMPUTED_VALUE"""),"Артём")</f>
        <v>Артём</v>
      </c>
      <c r="D147" t="str">
        <f ca="1">IFERROR(__xludf.DUMMYFUNCTION("""COMPUTED_VALUE"""),"Школа 625")</f>
        <v>Школа 625</v>
      </c>
      <c r="E147" s="5">
        <f ca="1">IFERROR(__xludf.DUMMYFUNCTION("""COMPUTED_VALUE"""),3)</f>
        <v>3</v>
      </c>
      <c r="F147" s="5">
        <f ca="1">IFERROR(__xludf.DUMMYFUNCTION("""COMPUTED_VALUE"""),4)</f>
        <v>4</v>
      </c>
      <c r="G147" s="5">
        <f ca="1">IFERROR(__xludf.DUMMYFUNCTION("""COMPUTED_VALUE"""),4)</f>
        <v>4</v>
      </c>
      <c r="H147" s="5">
        <f ca="1">IFERROR(__xludf.DUMMYFUNCTION("""COMPUTED_VALUE"""),0)</f>
        <v>0</v>
      </c>
      <c r="I147" s="5">
        <f ca="1">IFERROR(__xludf.DUMMYFUNCTION("""COMPUTED_VALUE"""),0)</f>
        <v>0</v>
      </c>
      <c r="J147" s="5">
        <f ca="1">IFERROR(__xludf.DUMMYFUNCTION("""COMPUTED_VALUE"""),0)</f>
        <v>0</v>
      </c>
      <c r="K147" s="5">
        <f ca="1">IFERROR(__xludf.DUMMYFUNCTION("""COMPUTED_VALUE"""),0)</f>
        <v>0</v>
      </c>
      <c r="L147" s="5">
        <f ca="1">IFERROR(__xludf.DUMMYFUNCTION("""COMPUTED_VALUE"""),0)</f>
        <v>0</v>
      </c>
      <c r="M147">
        <f ca="1">IFERROR(__xludf.DUMMYFUNCTION("""COMPUTED_VALUE"""),11)</f>
        <v>11</v>
      </c>
      <c r="N147" s="8"/>
    </row>
    <row r="148" spans="1:14" ht="12.45" hidden="1">
      <c r="A148" t="str">
        <f ca="1">IFERROR(__xludf.DUMMYFUNCTION("""COMPUTED_VALUE"""),"III-2-237")</f>
        <v>III-2-237</v>
      </c>
      <c r="B148" t="str">
        <f ca="1">IFERROR(__xludf.DUMMYFUNCTION("""COMPUTED_VALUE"""),"Курносова")</f>
        <v>Курносова</v>
      </c>
      <c r="C148" t="str">
        <f ca="1">IFERROR(__xludf.DUMMYFUNCTION("""COMPUTED_VALUE"""),"Татьяна")</f>
        <v>Татьяна</v>
      </c>
      <c r="D148" t="str">
        <f ca="1">IFERROR(__xludf.DUMMYFUNCTION("""COMPUTED_VALUE"""),"Школа 482")</f>
        <v>Школа 482</v>
      </c>
      <c r="E148" s="5">
        <f ca="1">IFERROR(__xludf.DUMMYFUNCTION("""COMPUTED_VALUE"""),3)</f>
        <v>3</v>
      </c>
      <c r="F148" s="5">
        <f ca="1">IFERROR(__xludf.DUMMYFUNCTION("""COMPUTED_VALUE"""),4)</f>
        <v>4</v>
      </c>
      <c r="G148" s="5">
        <f ca="1">IFERROR(__xludf.DUMMYFUNCTION("""COMPUTED_VALUE"""),4)</f>
        <v>4</v>
      </c>
      <c r="H148" s="5">
        <f ca="1">IFERROR(__xludf.DUMMYFUNCTION("""COMPUTED_VALUE"""),0)</f>
        <v>0</v>
      </c>
      <c r="I148" s="5">
        <f ca="1">IFERROR(__xludf.DUMMYFUNCTION("""COMPUTED_VALUE"""),0)</f>
        <v>0</v>
      </c>
      <c r="J148" s="5">
        <f ca="1">IFERROR(__xludf.DUMMYFUNCTION("""COMPUTED_VALUE"""),0)</f>
        <v>0</v>
      </c>
      <c r="K148" s="5">
        <f ca="1">IFERROR(__xludf.DUMMYFUNCTION("""COMPUTED_VALUE"""),0)</f>
        <v>0</v>
      </c>
      <c r="L148" s="5">
        <f ca="1">IFERROR(__xludf.DUMMYFUNCTION("""COMPUTED_VALUE"""),0)</f>
        <v>0</v>
      </c>
      <c r="M148">
        <f ca="1">IFERROR(__xludf.DUMMYFUNCTION("""COMPUTED_VALUE"""),11)</f>
        <v>11</v>
      </c>
      <c r="N148" s="8"/>
    </row>
    <row r="149" spans="1:14" ht="12.45" hidden="1">
      <c r="A149" t="str">
        <f ca="1">IFERROR(__xludf.DUMMYFUNCTION("""COMPUTED_VALUE"""),"III-2-088")</f>
        <v>III-2-088</v>
      </c>
      <c r="B149" t="str">
        <f ca="1">IFERROR(__xludf.DUMMYFUNCTION("""COMPUTED_VALUE"""),"Галушко")</f>
        <v>Галушко</v>
      </c>
      <c r="C149" t="str">
        <f ca="1">IFERROR(__xludf.DUMMYFUNCTION("""COMPUTED_VALUE"""),"Велимир")</f>
        <v>Велимир</v>
      </c>
      <c r="D149" t="str">
        <f ca="1">IFERROR(__xludf.DUMMYFUNCTION("""COMPUTED_VALUE"""),"Гимназия 628")</f>
        <v>Гимназия 628</v>
      </c>
      <c r="E149" s="5">
        <f ca="1">IFERROR(__xludf.DUMMYFUNCTION("""COMPUTED_VALUE"""),3)</f>
        <v>3</v>
      </c>
      <c r="F149" s="5">
        <f ca="1">IFERROR(__xludf.DUMMYFUNCTION("""COMPUTED_VALUE"""),4)</f>
        <v>4</v>
      </c>
      <c r="G149" s="5">
        <f ca="1">IFERROR(__xludf.DUMMYFUNCTION("""COMPUTED_VALUE"""),4)</f>
        <v>4</v>
      </c>
      <c r="H149" s="5">
        <f ca="1">IFERROR(__xludf.DUMMYFUNCTION("""COMPUTED_VALUE"""),0)</f>
        <v>0</v>
      </c>
      <c r="I149" s="5">
        <f ca="1">IFERROR(__xludf.DUMMYFUNCTION("""COMPUTED_VALUE"""),0)</f>
        <v>0</v>
      </c>
      <c r="J149" s="5">
        <f ca="1">IFERROR(__xludf.DUMMYFUNCTION("""COMPUTED_VALUE"""),0)</f>
        <v>0</v>
      </c>
      <c r="K149" s="5">
        <f ca="1">IFERROR(__xludf.DUMMYFUNCTION("""COMPUTED_VALUE"""),0)</f>
        <v>0</v>
      </c>
      <c r="L149" s="5">
        <f ca="1">IFERROR(__xludf.DUMMYFUNCTION("""COMPUTED_VALUE"""),0)</f>
        <v>0</v>
      </c>
      <c r="M149">
        <f ca="1">IFERROR(__xludf.DUMMYFUNCTION("""COMPUTED_VALUE"""),11)</f>
        <v>11</v>
      </c>
      <c r="N149" s="8"/>
    </row>
    <row r="150" spans="1:14" ht="12.45" hidden="1">
      <c r="A150" t="str">
        <f ca="1">IFERROR(__xludf.DUMMYFUNCTION("""COMPUTED_VALUE"""),"III-2-068")</f>
        <v>III-2-068</v>
      </c>
      <c r="B150" t="str">
        <f ca="1">IFERROR(__xludf.DUMMYFUNCTION("""COMPUTED_VALUE"""),"Бушуева")</f>
        <v>Бушуева</v>
      </c>
      <c r="C150" t="str">
        <f ca="1">IFERROR(__xludf.DUMMYFUNCTION("""COMPUTED_VALUE"""),"Арина")</f>
        <v>Арина</v>
      </c>
      <c r="D150" t="str">
        <f ca="1">IFERROR(__xludf.DUMMYFUNCTION("""COMPUTED_VALUE"""),"Лицей 597")</f>
        <v>Лицей 597</v>
      </c>
      <c r="E150" s="5">
        <f ca="1">IFERROR(__xludf.DUMMYFUNCTION("""COMPUTED_VALUE"""),3)</f>
        <v>3</v>
      </c>
      <c r="F150" s="5">
        <f ca="1">IFERROR(__xludf.DUMMYFUNCTION("""COMPUTED_VALUE"""),4)</f>
        <v>4</v>
      </c>
      <c r="G150" s="5">
        <f ca="1">IFERROR(__xludf.DUMMYFUNCTION("""COMPUTED_VALUE"""),4)</f>
        <v>4</v>
      </c>
      <c r="H150" s="5">
        <f ca="1">IFERROR(__xludf.DUMMYFUNCTION("""COMPUTED_VALUE"""),0)</f>
        <v>0</v>
      </c>
      <c r="I150" s="5">
        <f ca="1">IFERROR(__xludf.DUMMYFUNCTION("""COMPUTED_VALUE"""),0)</f>
        <v>0</v>
      </c>
      <c r="J150" s="5">
        <f ca="1">IFERROR(__xludf.DUMMYFUNCTION("""COMPUTED_VALUE"""),0)</f>
        <v>0</v>
      </c>
      <c r="K150" s="5">
        <f ca="1">IFERROR(__xludf.DUMMYFUNCTION("""COMPUTED_VALUE"""),0)</f>
        <v>0</v>
      </c>
      <c r="L150" s="5">
        <f ca="1">IFERROR(__xludf.DUMMYFUNCTION("""COMPUTED_VALUE"""),0)</f>
        <v>0</v>
      </c>
      <c r="M150">
        <f ca="1">IFERROR(__xludf.DUMMYFUNCTION("""COMPUTED_VALUE"""),11)</f>
        <v>11</v>
      </c>
      <c r="N150" s="8"/>
    </row>
    <row r="151" spans="1:14" ht="12.45" hidden="1">
      <c r="A151" t="str">
        <f ca="1">IFERROR(__xludf.DUMMYFUNCTION("""COMPUTED_VALUE"""),"V-2-315")</f>
        <v>V-2-315</v>
      </c>
      <c r="B151" t="str">
        <f ca="1">IFERROR(__xludf.DUMMYFUNCTION("""COMPUTED_VALUE"""),"Новик")</f>
        <v>Новик</v>
      </c>
      <c r="C151" t="str">
        <f ca="1">IFERROR(__xludf.DUMMYFUNCTION("""COMPUTED_VALUE"""),"Николай")</f>
        <v>Николай</v>
      </c>
      <c r="D151" t="str">
        <f ca="1">IFERROR(__xludf.DUMMYFUNCTION("""COMPUTED_VALUE"""),"Школа 598")</f>
        <v>Школа 598</v>
      </c>
      <c r="E151" s="5">
        <f ca="1">IFERROR(__xludf.DUMMYFUNCTION("""COMPUTED_VALUE"""),3)</f>
        <v>3</v>
      </c>
      <c r="F151" s="5">
        <f ca="1">IFERROR(__xludf.DUMMYFUNCTION("""COMPUTED_VALUE"""),4)</f>
        <v>4</v>
      </c>
      <c r="G151" s="5">
        <f ca="1">IFERROR(__xludf.DUMMYFUNCTION("""COMPUTED_VALUE"""),4)</f>
        <v>4</v>
      </c>
      <c r="H151" s="5">
        <f ca="1">IFERROR(__xludf.DUMMYFUNCTION("""COMPUTED_VALUE"""),0)</f>
        <v>0</v>
      </c>
      <c r="I151" s="5">
        <f ca="1">IFERROR(__xludf.DUMMYFUNCTION("""COMPUTED_VALUE"""),0)</f>
        <v>0</v>
      </c>
      <c r="J151" s="5">
        <f ca="1">IFERROR(__xludf.DUMMYFUNCTION("""COMPUTED_VALUE"""),0)</f>
        <v>0</v>
      </c>
      <c r="K151" s="5">
        <f ca="1">IFERROR(__xludf.DUMMYFUNCTION("""COMPUTED_VALUE"""),0)</f>
        <v>0</v>
      </c>
      <c r="L151" s="5">
        <f ca="1">IFERROR(__xludf.DUMMYFUNCTION("""COMPUTED_VALUE"""),0)</f>
        <v>0</v>
      </c>
      <c r="M151">
        <f ca="1">IFERROR(__xludf.DUMMYFUNCTION("""COMPUTED_VALUE"""),11)</f>
        <v>11</v>
      </c>
      <c r="N151" s="8"/>
    </row>
    <row r="152" spans="1:14" ht="12.45" hidden="1">
      <c r="A152" t="str">
        <f ca="1">IFERROR(__xludf.DUMMYFUNCTION("""COMPUTED_VALUE"""),"III-2-116")</f>
        <v>III-2-116</v>
      </c>
      <c r="B152" t="str">
        <f ca="1">IFERROR(__xludf.DUMMYFUNCTION("""COMPUTED_VALUE"""),"Гришин")</f>
        <v>Гришин</v>
      </c>
      <c r="C152" t="str">
        <f ca="1">IFERROR(__xludf.DUMMYFUNCTION("""COMPUTED_VALUE"""),"Алексей")</f>
        <v>Алексей</v>
      </c>
      <c r="D152" t="str">
        <f ca="1">IFERROR(__xludf.DUMMYFUNCTION("""COMPUTED_VALUE"""),"Школа 605")</f>
        <v>Школа 605</v>
      </c>
      <c r="E152" s="5">
        <f ca="1">IFERROR(__xludf.DUMMYFUNCTION("""COMPUTED_VALUE"""),3)</f>
        <v>3</v>
      </c>
      <c r="F152" s="5">
        <f ca="1">IFERROR(__xludf.DUMMYFUNCTION("""COMPUTED_VALUE"""),4)</f>
        <v>4</v>
      </c>
      <c r="G152" s="5">
        <f ca="1">IFERROR(__xludf.DUMMYFUNCTION("""COMPUTED_VALUE"""),4)</f>
        <v>4</v>
      </c>
      <c r="H152" s="5">
        <f ca="1">IFERROR(__xludf.DUMMYFUNCTION("""COMPUTED_VALUE"""),0)</f>
        <v>0</v>
      </c>
      <c r="I152" s="5">
        <f ca="1">IFERROR(__xludf.DUMMYFUNCTION("""COMPUTED_VALUE"""),0)</f>
        <v>0</v>
      </c>
      <c r="J152" s="5">
        <f ca="1">IFERROR(__xludf.DUMMYFUNCTION("""COMPUTED_VALUE"""),0)</f>
        <v>0</v>
      </c>
      <c r="K152" s="5">
        <f ca="1">IFERROR(__xludf.DUMMYFUNCTION("""COMPUTED_VALUE"""),0)</f>
        <v>0</v>
      </c>
      <c r="L152" s="5">
        <f ca="1">IFERROR(__xludf.DUMMYFUNCTION("""COMPUTED_VALUE"""),0)</f>
        <v>0</v>
      </c>
      <c r="M152">
        <f ca="1">IFERROR(__xludf.DUMMYFUNCTION("""COMPUTED_VALUE"""),11)</f>
        <v>11</v>
      </c>
      <c r="N152" s="8"/>
    </row>
    <row r="153" spans="1:14" ht="12.45" hidden="1">
      <c r="A153" t="str">
        <f ca="1">IFERROR(__xludf.DUMMYFUNCTION("""COMPUTED_VALUE"""),"V-2-357")</f>
        <v>V-2-357</v>
      </c>
      <c r="B153" t="str">
        <f ca="1">IFERROR(__xludf.DUMMYFUNCTION("""COMPUTED_VALUE"""),"Романов")</f>
        <v>Романов</v>
      </c>
      <c r="C153" t="str">
        <f ca="1">IFERROR(__xludf.DUMMYFUNCTION("""COMPUTED_VALUE"""),"Михаил")</f>
        <v>Михаил</v>
      </c>
      <c r="D153" t="str">
        <f ca="1">IFERROR(__xludf.DUMMYFUNCTION("""COMPUTED_VALUE"""),"Гимназия 114")</f>
        <v>Гимназия 114</v>
      </c>
      <c r="E153" s="5">
        <f ca="1">IFERROR(__xludf.DUMMYFUNCTION("""COMPUTED_VALUE"""),3)</f>
        <v>3</v>
      </c>
      <c r="F153" s="5">
        <f ca="1">IFERROR(__xludf.DUMMYFUNCTION("""COMPUTED_VALUE"""),4)</f>
        <v>4</v>
      </c>
      <c r="G153" s="5">
        <f ca="1">IFERROR(__xludf.DUMMYFUNCTION("""COMPUTED_VALUE"""),4)</f>
        <v>4</v>
      </c>
      <c r="H153" s="5">
        <f ca="1">IFERROR(__xludf.DUMMYFUNCTION("""COMPUTED_VALUE"""),0)</f>
        <v>0</v>
      </c>
      <c r="I153" s="5">
        <f ca="1">IFERROR(__xludf.DUMMYFUNCTION("""COMPUTED_VALUE"""),0)</f>
        <v>0</v>
      </c>
      <c r="J153" s="5">
        <f ca="1">IFERROR(__xludf.DUMMYFUNCTION("""COMPUTED_VALUE"""),0)</f>
        <v>0</v>
      </c>
      <c r="K153" s="5">
        <f ca="1">IFERROR(__xludf.DUMMYFUNCTION("""COMPUTED_VALUE"""),0)</f>
        <v>0</v>
      </c>
      <c r="L153" s="5">
        <f ca="1">IFERROR(__xludf.DUMMYFUNCTION("""COMPUTED_VALUE"""),0)</f>
        <v>0</v>
      </c>
      <c r="M153">
        <f ca="1">IFERROR(__xludf.DUMMYFUNCTION("""COMPUTED_VALUE"""),11)</f>
        <v>11</v>
      </c>
      <c r="N153" s="8"/>
    </row>
    <row r="154" spans="1:14" ht="12.45" hidden="1">
      <c r="A154" t="str">
        <f ca="1">IFERROR(__xludf.DUMMYFUNCTION("""COMPUTED_VALUE"""),"III-2-212")</f>
        <v>III-2-212</v>
      </c>
      <c r="B154" t="str">
        <f ca="1">IFERROR(__xludf.DUMMYFUNCTION("""COMPUTED_VALUE"""),"Козин")</f>
        <v>Козин</v>
      </c>
      <c r="C154" t="str">
        <f ca="1">IFERROR(__xludf.DUMMYFUNCTION("""COMPUTED_VALUE"""),"Тимофей")</f>
        <v>Тимофей</v>
      </c>
      <c r="D154" t="str">
        <f ca="1">IFERROR(__xludf.DUMMYFUNCTION("""COMPUTED_VALUE"""),"Школа 482")</f>
        <v>Школа 482</v>
      </c>
      <c r="E154" s="5">
        <f ca="1">IFERROR(__xludf.DUMMYFUNCTION("""COMPUTED_VALUE"""),3)</f>
        <v>3</v>
      </c>
      <c r="F154" s="5">
        <f ca="1">IFERROR(__xludf.DUMMYFUNCTION("""COMPUTED_VALUE"""),0)</f>
        <v>0</v>
      </c>
      <c r="G154" s="5">
        <f ca="1">IFERROR(__xludf.DUMMYFUNCTION("""COMPUTED_VALUE"""),4)</f>
        <v>4</v>
      </c>
      <c r="H154" s="5">
        <f ca="1">IFERROR(__xludf.DUMMYFUNCTION("""COMPUTED_VALUE"""),0)</f>
        <v>0</v>
      </c>
      <c r="I154" s="5">
        <f ca="1">IFERROR(__xludf.DUMMYFUNCTION("""COMPUTED_VALUE"""),0)</f>
        <v>0</v>
      </c>
      <c r="J154" s="5">
        <f ca="1">IFERROR(__xludf.DUMMYFUNCTION("""COMPUTED_VALUE"""),0)</f>
        <v>0</v>
      </c>
      <c r="K154" s="5">
        <f ca="1">IFERROR(__xludf.DUMMYFUNCTION("""COMPUTED_VALUE"""),3)</f>
        <v>3</v>
      </c>
      <c r="L154" s="5">
        <f ca="1">IFERROR(__xludf.DUMMYFUNCTION("""COMPUTED_VALUE"""),0)</f>
        <v>0</v>
      </c>
      <c r="M154">
        <f ca="1">IFERROR(__xludf.DUMMYFUNCTION("""COMPUTED_VALUE"""),10)</f>
        <v>10</v>
      </c>
      <c r="N154" s="8"/>
    </row>
    <row r="155" spans="1:14" ht="12.45" hidden="1">
      <c r="A155" t="str">
        <f ca="1">IFERROR(__xludf.DUMMYFUNCTION("""COMPUTED_VALUE"""),"III-2-050")</f>
        <v>III-2-050</v>
      </c>
      <c r="B155" t="str">
        <f ca="1">IFERROR(__xludf.DUMMYFUNCTION("""COMPUTED_VALUE"""),"Богданов")</f>
        <v>Богданов</v>
      </c>
      <c r="C155" t="str">
        <f ca="1">IFERROR(__xludf.DUMMYFUNCTION("""COMPUTED_VALUE"""),"Андрей")</f>
        <v>Андрей</v>
      </c>
      <c r="D155" t="str">
        <f ca="1">IFERROR(__xludf.DUMMYFUNCTION("""COMPUTED_VALUE"""),"Лицей 150")</f>
        <v>Лицей 150</v>
      </c>
      <c r="E155" s="5">
        <f ca="1">IFERROR(__xludf.DUMMYFUNCTION("""COMPUTED_VALUE"""),0)</f>
        <v>0</v>
      </c>
      <c r="F155" s="5">
        <f ca="1">IFERROR(__xludf.DUMMYFUNCTION("""COMPUTED_VALUE"""),4)</f>
        <v>4</v>
      </c>
      <c r="G155" s="5">
        <f ca="1">IFERROR(__xludf.DUMMYFUNCTION("""COMPUTED_VALUE"""),4)</f>
        <v>4</v>
      </c>
      <c r="H155" s="5">
        <f ca="1">IFERROR(__xludf.DUMMYFUNCTION("""COMPUTED_VALUE"""),0)</f>
        <v>0</v>
      </c>
      <c r="I155" s="5">
        <f ca="1">IFERROR(__xludf.DUMMYFUNCTION("""COMPUTED_VALUE"""),0)</f>
        <v>0</v>
      </c>
      <c r="J155" s="5">
        <f ca="1">IFERROR(__xludf.DUMMYFUNCTION("""COMPUTED_VALUE"""),2)</f>
        <v>2</v>
      </c>
      <c r="K155" s="5">
        <f ca="1">IFERROR(__xludf.DUMMYFUNCTION("""COMPUTED_VALUE"""),0)</f>
        <v>0</v>
      </c>
      <c r="L155" s="5">
        <f ca="1">IFERROR(__xludf.DUMMYFUNCTION("""COMPUTED_VALUE"""),0)</f>
        <v>0</v>
      </c>
      <c r="M155">
        <f ca="1">IFERROR(__xludf.DUMMYFUNCTION("""COMPUTED_VALUE"""),10)</f>
        <v>10</v>
      </c>
      <c r="N155" s="8"/>
    </row>
    <row r="156" spans="1:14" ht="12.45" hidden="1">
      <c r="A156" t="str">
        <f ca="1">IFERROR(__xludf.DUMMYFUNCTION("""COMPUTED_VALUE"""),"V-2-242")</f>
        <v>V-2-242</v>
      </c>
      <c r="B156" t="str">
        <f ca="1">IFERROR(__xludf.DUMMYFUNCTION("""COMPUTED_VALUE"""),"Кучинская")</f>
        <v>Кучинская</v>
      </c>
      <c r="C156" t="str">
        <f ca="1">IFERROR(__xludf.DUMMYFUNCTION("""COMPUTED_VALUE"""),"Екатерина")</f>
        <v>Екатерина</v>
      </c>
      <c r="D156" t="str">
        <f ca="1">IFERROR(__xludf.DUMMYFUNCTION("""COMPUTED_VALUE"""),"Гимназия 577")</f>
        <v>Гимназия 577</v>
      </c>
      <c r="E156" s="5">
        <f ca="1">IFERROR(__xludf.DUMMYFUNCTION("""COMPUTED_VALUE"""),1)</f>
        <v>1</v>
      </c>
      <c r="F156" s="5">
        <f ca="1">IFERROR(__xludf.DUMMYFUNCTION("""COMPUTED_VALUE"""),0)</f>
        <v>0</v>
      </c>
      <c r="G156" s="5">
        <f ca="1">IFERROR(__xludf.DUMMYFUNCTION("""COMPUTED_VALUE"""),4)</f>
        <v>4</v>
      </c>
      <c r="H156" s="5">
        <f ca="1">IFERROR(__xludf.DUMMYFUNCTION("""COMPUTED_VALUE"""),0)</f>
        <v>0</v>
      </c>
      <c r="I156" s="5">
        <f ca="1">IFERROR(__xludf.DUMMYFUNCTION("""COMPUTED_VALUE"""),5)</f>
        <v>5</v>
      </c>
      <c r="J156" s="5">
        <f ca="1">IFERROR(__xludf.DUMMYFUNCTION("""COMPUTED_VALUE"""),0)</f>
        <v>0</v>
      </c>
      <c r="K156" s="5">
        <f ca="1">IFERROR(__xludf.DUMMYFUNCTION("""COMPUTED_VALUE"""),0)</f>
        <v>0</v>
      </c>
      <c r="L156" s="5">
        <f ca="1">IFERROR(__xludf.DUMMYFUNCTION("""COMPUTED_VALUE"""),0)</f>
        <v>0</v>
      </c>
      <c r="M156">
        <f ca="1">IFERROR(__xludf.DUMMYFUNCTION("""COMPUTED_VALUE"""),10)</f>
        <v>10</v>
      </c>
      <c r="N156" s="8"/>
    </row>
    <row r="157" spans="1:14" ht="12.45" hidden="1">
      <c r="A157" t="str">
        <f ca="1">IFERROR(__xludf.DUMMYFUNCTION("""COMPUTED_VALUE"""),"III-2-003")</f>
        <v>III-2-003</v>
      </c>
      <c r="B157" t="str">
        <f ca="1">IFERROR(__xludf.DUMMYFUNCTION("""COMPUTED_VALUE"""),"Абрашов")</f>
        <v>Абрашов</v>
      </c>
      <c r="C157" t="str">
        <f ca="1">IFERROR(__xludf.DUMMYFUNCTION("""COMPUTED_VALUE"""),"Юрий")</f>
        <v>Юрий</v>
      </c>
      <c r="D157" t="str">
        <f ca="1">IFERROR(__xludf.DUMMYFUNCTION("""COMPUTED_VALUE"""),"Лицей 101")</f>
        <v>Лицей 101</v>
      </c>
      <c r="E157" s="5">
        <f ca="1">IFERROR(__xludf.DUMMYFUNCTION("""COMPUTED_VALUE"""),3)</f>
        <v>3</v>
      </c>
      <c r="F157" s="5">
        <f ca="1">IFERROR(__xludf.DUMMYFUNCTION("""COMPUTED_VALUE"""),0)</f>
        <v>0</v>
      </c>
      <c r="G157" s="5">
        <f ca="1">IFERROR(__xludf.DUMMYFUNCTION("""COMPUTED_VALUE"""),2)</f>
        <v>2</v>
      </c>
      <c r="H157" s="5">
        <f ca="1">IFERROR(__xludf.DUMMYFUNCTION("""COMPUTED_VALUE"""),0)</f>
        <v>0</v>
      </c>
      <c r="I157" s="5">
        <f ca="1">IFERROR(__xludf.DUMMYFUNCTION("""COMPUTED_VALUE"""),5)</f>
        <v>5</v>
      </c>
      <c r="J157" s="5">
        <f ca="1">IFERROR(__xludf.DUMMYFUNCTION("""COMPUTED_VALUE"""),0)</f>
        <v>0</v>
      </c>
      <c r="K157" s="5">
        <f ca="1">IFERROR(__xludf.DUMMYFUNCTION("""COMPUTED_VALUE"""),0)</f>
        <v>0</v>
      </c>
      <c r="L157" s="5">
        <f ca="1">IFERROR(__xludf.DUMMYFUNCTION("""COMPUTED_VALUE"""),0)</f>
        <v>0</v>
      </c>
      <c r="M157">
        <f ca="1">IFERROR(__xludf.DUMMYFUNCTION("""COMPUTED_VALUE"""),10)</f>
        <v>10</v>
      </c>
      <c r="N157" s="8"/>
    </row>
    <row r="158" spans="1:14" ht="12.45" hidden="1">
      <c r="A158" t="str">
        <f ca="1">IFERROR(__xludf.DUMMYFUNCTION("""COMPUTED_VALUE"""),"III-2-204")</f>
        <v>III-2-204</v>
      </c>
      <c r="B158" t="str">
        <f ca="1">IFERROR(__xludf.DUMMYFUNCTION("""COMPUTED_VALUE"""),"Клементьев")</f>
        <v>Клементьев</v>
      </c>
      <c r="C158" t="str">
        <f ca="1">IFERROR(__xludf.DUMMYFUNCTION("""COMPUTED_VALUE"""),"Максим")</f>
        <v>Максим</v>
      </c>
      <c r="D158" t="str">
        <f ca="1">IFERROR(__xludf.DUMMYFUNCTION("""COMPUTED_VALUE"""),"Школа 233")</f>
        <v>Школа 233</v>
      </c>
      <c r="E158" s="5">
        <f ca="1">IFERROR(__xludf.DUMMYFUNCTION("""COMPUTED_VALUE"""),3)</f>
        <v>3</v>
      </c>
      <c r="F158" s="5">
        <f ca="1">IFERROR(__xludf.DUMMYFUNCTION("""COMPUTED_VALUE"""),4)</f>
        <v>4</v>
      </c>
      <c r="G158" s="5">
        <f ca="1">IFERROR(__xludf.DUMMYFUNCTION("""COMPUTED_VALUE"""),0)</f>
        <v>0</v>
      </c>
      <c r="H158" s="5">
        <f ca="1">IFERROR(__xludf.DUMMYFUNCTION("""COMPUTED_VALUE"""),0)</f>
        <v>0</v>
      </c>
      <c r="I158" s="5">
        <f ca="1">IFERROR(__xludf.DUMMYFUNCTION("""COMPUTED_VALUE"""),3)</f>
        <v>3</v>
      </c>
      <c r="J158" s="5">
        <f ca="1">IFERROR(__xludf.DUMMYFUNCTION("""COMPUTED_VALUE"""),0)</f>
        <v>0</v>
      </c>
      <c r="K158" s="5">
        <f ca="1">IFERROR(__xludf.DUMMYFUNCTION("""COMPUTED_VALUE"""),0)</f>
        <v>0</v>
      </c>
      <c r="L158" s="5">
        <f ca="1">IFERROR(__xludf.DUMMYFUNCTION("""COMPUTED_VALUE"""),0)</f>
        <v>0</v>
      </c>
      <c r="M158">
        <f ca="1">IFERROR(__xludf.DUMMYFUNCTION("""COMPUTED_VALUE"""),10)</f>
        <v>10</v>
      </c>
      <c r="N158" s="8"/>
    </row>
    <row r="159" spans="1:14" ht="12.45" hidden="1">
      <c r="A159" t="str">
        <f ca="1">IFERROR(__xludf.DUMMYFUNCTION("""COMPUTED_VALUE"""),"III-2-027")</f>
        <v>III-2-027</v>
      </c>
      <c r="B159" t="str">
        <f ca="1">IFERROR(__xludf.DUMMYFUNCTION("""COMPUTED_VALUE"""),"Ахсянов")</f>
        <v>Ахсянов</v>
      </c>
      <c r="C159" t="str">
        <f ca="1">IFERROR(__xludf.DUMMYFUNCTION("""COMPUTED_VALUE"""),"Арслан")</f>
        <v>Арслан</v>
      </c>
      <c r="D159" t="str">
        <f ca="1">IFERROR(__xludf.DUMMYFUNCTION("""COMPUTED_VALUE"""),"Гимназия гимназия 93")</f>
        <v>Гимназия гимназия 93</v>
      </c>
      <c r="E159" s="5">
        <f ca="1">IFERROR(__xludf.DUMMYFUNCTION("""COMPUTED_VALUE"""),3)</f>
        <v>3</v>
      </c>
      <c r="F159" s="5">
        <f ca="1">IFERROR(__xludf.DUMMYFUNCTION("""COMPUTED_VALUE"""),4)</f>
        <v>4</v>
      </c>
      <c r="G159" s="5">
        <f ca="1">IFERROR(__xludf.DUMMYFUNCTION("""COMPUTED_VALUE"""),0)</f>
        <v>0</v>
      </c>
      <c r="H159" s="5">
        <f ca="1">IFERROR(__xludf.DUMMYFUNCTION("""COMPUTED_VALUE"""),0)</f>
        <v>0</v>
      </c>
      <c r="I159" s="5">
        <f ca="1">IFERROR(__xludf.DUMMYFUNCTION("""COMPUTED_VALUE"""),3)</f>
        <v>3</v>
      </c>
      <c r="J159" s="5">
        <f ca="1">IFERROR(__xludf.DUMMYFUNCTION("""COMPUTED_VALUE"""),0)</f>
        <v>0</v>
      </c>
      <c r="K159" s="5">
        <f ca="1">IFERROR(__xludf.DUMMYFUNCTION("""COMPUTED_VALUE"""),0)</f>
        <v>0</v>
      </c>
      <c r="L159" s="5">
        <f ca="1">IFERROR(__xludf.DUMMYFUNCTION("""COMPUTED_VALUE"""),0)</f>
        <v>0</v>
      </c>
      <c r="M159">
        <f ca="1">IFERROR(__xludf.DUMMYFUNCTION("""COMPUTED_VALUE"""),10)</f>
        <v>10</v>
      </c>
      <c r="N159" s="8"/>
    </row>
    <row r="160" spans="1:14" ht="12.45" hidden="1">
      <c r="A160" t="str">
        <f ca="1">IFERROR(__xludf.DUMMYFUNCTION("""COMPUTED_VALUE"""),"V-2-274")</f>
        <v>V-2-274</v>
      </c>
      <c r="B160" t="str">
        <f ca="1">IFERROR(__xludf.DUMMYFUNCTION("""COMPUTED_VALUE"""),"Манжосов")</f>
        <v>Манжосов</v>
      </c>
      <c r="C160" t="str">
        <f ca="1">IFERROR(__xludf.DUMMYFUNCTION("""COMPUTED_VALUE"""),"Михаил")</f>
        <v>Михаил</v>
      </c>
      <c r="D160" t="str">
        <f ca="1">IFERROR(__xludf.DUMMYFUNCTION("""COMPUTED_VALUE"""),"Лицей 366")</f>
        <v>Лицей 366</v>
      </c>
      <c r="E160" s="5">
        <f ca="1">IFERROR(__xludf.DUMMYFUNCTION("""COMPUTED_VALUE"""),1)</f>
        <v>1</v>
      </c>
      <c r="F160" s="5">
        <f ca="1">IFERROR(__xludf.DUMMYFUNCTION("""COMPUTED_VALUE"""),0)</f>
        <v>0</v>
      </c>
      <c r="G160" s="5">
        <f ca="1">IFERROR(__xludf.DUMMYFUNCTION("""COMPUTED_VALUE"""),4)</f>
        <v>4</v>
      </c>
      <c r="H160" s="5">
        <f ca="1">IFERROR(__xludf.DUMMYFUNCTION("""COMPUTED_VALUE"""),3)</f>
        <v>3</v>
      </c>
      <c r="I160" s="5">
        <f ca="1">IFERROR(__xludf.DUMMYFUNCTION("""COMPUTED_VALUE"""),2)</f>
        <v>2</v>
      </c>
      <c r="J160" s="5">
        <f ca="1">IFERROR(__xludf.DUMMYFUNCTION("""COMPUTED_VALUE"""),0)</f>
        <v>0</v>
      </c>
      <c r="K160" s="5">
        <f ca="1">IFERROR(__xludf.DUMMYFUNCTION("""COMPUTED_VALUE"""),0)</f>
        <v>0</v>
      </c>
      <c r="L160" s="5">
        <f ca="1">IFERROR(__xludf.DUMMYFUNCTION("""COMPUTED_VALUE"""),0)</f>
        <v>0</v>
      </c>
      <c r="M160">
        <f ca="1">IFERROR(__xludf.DUMMYFUNCTION("""COMPUTED_VALUE"""),10)</f>
        <v>10</v>
      </c>
      <c r="N160" s="8"/>
    </row>
    <row r="161" spans="1:14" ht="12.45" hidden="1">
      <c r="A161" t="str">
        <f ca="1">IFERROR(__xludf.DUMMYFUNCTION("""COMPUTED_VALUE"""),"III-2-028")</f>
        <v>III-2-028</v>
      </c>
      <c r="B161" t="str">
        <f ca="1">IFERROR(__xludf.DUMMYFUNCTION("""COMPUTED_VALUE"""),"Ачеповский")</f>
        <v>Ачеповский</v>
      </c>
      <c r="C161" t="str">
        <f ca="1">IFERROR(__xludf.DUMMYFUNCTION("""COMPUTED_VALUE"""),"Артём")</f>
        <v>Артём</v>
      </c>
      <c r="D161" t="str">
        <f ca="1">IFERROR(__xludf.DUMMYFUNCTION("""COMPUTED_VALUE"""),"Гимназия 628")</f>
        <v>Гимназия 628</v>
      </c>
      <c r="E161" s="5">
        <f ca="1">IFERROR(__xludf.DUMMYFUNCTION("""COMPUTED_VALUE"""),3)</f>
        <v>3</v>
      </c>
      <c r="F161" s="5">
        <f ca="1">IFERROR(__xludf.DUMMYFUNCTION("""COMPUTED_VALUE"""),0)</f>
        <v>0</v>
      </c>
      <c r="G161" s="5">
        <f ca="1">IFERROR(__xludf.DUMMYFUNCTION("""COMPUTED_VALUE"""),4)</f>
        <v>4</v>
      </c>
      <c r="H161" s="5">
        <f ca="1">IFERROR(__xludf.DUMMYFUNCTION("""COMPUTED_VALUE"""),3)</f>
        <v>3</v>
      </c>
      <c r="I161" s="5">
        <f ca="1">IFERROR(__xludf.DUMMYFUNCTION("""COMPUTED_VALUE"""),0)</f>
        <v>0</v>
      </c>
      <c r="J161" s="5">
        <f ca="1">IFERROR(__xludf.DUMMYFUNCTION("""COMPUTED_VALUE"""),0)</f>
        <v>0</v>
      </c>
      <c r="K161" s="5">
        <f ca="1">IFERROR(__xludf.DUMMYFUNCTION("""COMPUTED_VALUE"""),0)</f>
        <v>0</v>
      </c>
      <c r="L161" s="5">
        <f ca="1">IFERROR(__xludf.DUMMYFUNCTION("""COMPUTED_VALUE"""),0)</f>
        <v>0</v>
      </c>
      <c r="M161">
        <f ca="1">IFERROR(__xludf.DUMMYFUNCTION("""COMPUTED_VALUE"""),10)</f>
        <v>10</v>
      </c>
      <c r="N161" s="8"/>
    </row>
    <row r="162" spans="1:14" ht="12.45" hidden="1">
      <c r="A162" t="str">
        <f ca="1">IFERROR(__xludf.DUMMYFUNCTION("""COMPUTED_VALUE"""),"V-2-425")</f>
        <v>V-2-425</v>
      </c>
      <c r="B162" t="str">
        <f ca="1">IFERROR(__xludf.DUMMYFUNCTION("""COMPUTED_VALUE"""),"Тимофеева")</f>
        <v>Тимофеева</v>
      </c>
      <c r="C162" t="str">
        <f ca="1">IFERROR(__xludf.DUMMYFUNCTION("""COMPUTED_VALUE"""),"Анастасия")</f>
        <v>Анастасия</v>
      </c>
      <c r="D162" t="str">
        <f ca="1">IFERROR(__xludf.DUMMYFUNCTION("""COMPUTED_VALUE"""),"Школа 356")</f>
        <v>Школа 356</v>
      </c>
      <c r="E162" s="5">
        <f ca="1">IFERROR(__xludf.DUMMYFUNCTION("""COMPUTED_VALUE"""),3)</f>
        <v>3</v>
      </c>
      <c r="F162" s="5">
        <f ca="1">IFERROR(__xludf.DUMMYFUNCTION("""COMPUTED_VALUE"""),0)</f>
        <v>0</v>
      </c>
      <c r="G162" s="5">
        <f ca="1">IFERROR(__xludf.DUMMYFUNCTION("""COMPUTED_VALUE"""),4)</f>
        <v>4</v>
      </c>
      <c r="H162" s="5">
        <f ca="1">IFERROR(__xludf.DUMMYFUNCTION("""COMPUTED_VALUE"""),3)</f>
        <v>3</v>
      </c>
      <c r="I162" s="5">
        <f ca="1">IFERROR(__xludf.DUMMYFUNCTION("""COMPUTED_VALUE"""),0)</f>
        <v>0</v>
      </c>
      <c r="J162" s="5">
        <f ca="1">IFERROR(__xludf.DUMMYFUNCTION("""COMPUTED_VALUE"""),0)</f>
        <v>0</v>
      </c>
      <c r="K162" s="5">
        <f ca="1">IFERROR(__xludf.DUMMYFUNCTION("""COMPUTED_VALUE"""),0)</f>
        <v>0</v>
      </c>
      <c r="L162" s="5">
        <f ca="1">IFERROR(__xludf.DUMMYFUNCTION("""COMPUTED_VALUE"""),0)</f>
        <v>0</v>
      </c>
      <c r="M162">
        <f ca="1">IFERROR(__xludf.DUMMYFUNCTION("""COMPUTED_VALUE"""),10)</f>
        <v>10</v>
      </c>
      <c r="N162" s="8"/>
    </row>
    <row r="163" spans="1:14" ht="12.45" hidden="1">
      <c r="A163" t="str">
        <f ca="1">IFERROR(__xludf.DUMMYFUNCTION("""COMPUTED_VALUE"""),"III-2-043")</f>
        <v>III-2-043</v>
      </c>
      <c r="B163" t="str">
        <f ca="1">IFERROR(__xludf.DUMMYFUNCTION("""COMPUTED_VALUE"""),"Белоусов")</f>
        <v>Белоусов</v>
      </c>
      <c r="C163" t="str">
        <f ca="1">IFERROR(__xludf.DUMMYFUNCTION("""COMPUTED_VALUE"""),"Владислав")</f>
        <v>Владислав</v>
      </c>
      <c r="D163" t="str">
        <f ca="1">IFERROR(__xludf.DUMMYFUNCTION("""COMPUTED_VALUE"""),"Школа 655")</f>
        <v>Школа 655</v>
      </c>
      <c r="E163" s="5">
        <f ca="1">IFERROR(__xludf.DUMMYFUNCTION("""COMPUTED_VALUE"""),3)</f>
        <v>3</v>
      </c>
      <c r="F163" s="5">
        <f ca="1">IFERROR(__xludf.DUMMYFUNCTION("""COMPUTED_VALUE"""),4)</f>
        <v>4</v>
      </c>
      <c r="G163" s="5">
        <f ca="1">IFERROR(__xludf.DUMMYFUNCTION("""COMPUTED_VALUE"""),0)</f>
        <v>0</v>
      </c>
      <c r="H163" s="5">
        <f ca="1">IFERROR(__xludf.DUMMYFUNCTION("""COMPUTED_VALUE"""),3)</f>
        <v>3</v>
      </c>
      <c r="I163" s="5">
        <f ca="1">IFERROR(__xludf.DUMMYFUNCTION("""COMPUTED_VALUE"""),0)</f>
        <v>0</v>
      </c>
      <c r="J163" s="5">
        <f ca="1">IFERROR(__xludf.DUMMYFUNCTION("""COMPUTED_VALUE"""),0)</f>
        <v>0</v>
      </c>
      <c r="K163" s="5">
        <f ca="1">IFERROR(__xludf.DUMMYFUNCTION("""COMPUTED_VALUE"""),0)</f>
        <v>0</v>
      </c>
      <c r="L163" s="5">
        <f ca="1">IFERROR(__xludf.DUMMYFUNCTION("""COMPUTED_VALUE"""),0)</f>
        <v>0</v>
      </c>
      <c r="M163">
        <f ca="1">IFERROR(__xludf.DUMMYFUNCTION("""COMPUTED_VALUE"""),10)</f>
        <v>10</v>
      </c>
      <c r="N163" s="8"/>
    </row>
    <row r="164" spans="1:14" ht="12.45" hidden="1">
      <c r="A164" t="str">
        <f ca="1">IFERROR(__xludf.DUMMYFUNCTION("""COMPUTED_VALUE"""),"III-2-189")</f>
        <v>III-2-189</v>
      </c>
      <c r="B164" t="str">
        <f ca="1">IFERROR(__xludf.DUMMYFUNCTION("""COMPUTED_VALUE"""),"Калинюк")</f>
        <v>Калинюк</v>
      </c>
      <c r="C164" t="str">
        <f ca="1">IFERROR(__xludf.DUMMYFUNCTION("""COMPUTED_VALUE"""),"Виктория")</f>
        <v>Виктория</v>
      </c>
      <c r="D164" t="str">
        <f ca="1">IFERROR(__xludf.DUMMYFUNCTION("""COMPUTED_VALUE"""),"Лицей 369")</f>
        <v>Лицей 369</v>
      </c>
      <c r="E164" s="5">
        <f ca="1">IFERROR(__xludf.DUMMYFUNCTION("""COMPUTED_VALUE"""),2)</f>
        <v>2</v>
      </c>
      <c r="F164" s="5">
        <f ca="1">IFERROR(__xludf.DUMMYFUNCTION("""COMPUTED_VALUE"""),4)</f>
        <v>4</v>
      </c>
      <c r="G164" s="5">
        <f ca="1">IFERROR(__xludf.DUMMYFUNCTION("""COMPUTED_VALUE"""),4)</f>
        <v>4</v>
      </c>
      <c r="H164" s="5">
        <f ca="1">IFERROR(__xludf.DUMMYFUNCTION("""COMPUTED_VALUE"""),0)</f>
        <v>0</v>
      </c>
      <c r="I164" s="5">
        <f ca="1">IFERROR(__xludf.DUMMYFUNCTION("""COMPUTED_VALUE"""),0)</f>
        <v>0</v>
      </c>
      <c r="J164" s="5">
        <f ca="1">IFERROR(__xludf.DUMMYFUNCTION("""COMPUTED_VALUE"""),0)</f>
        <v>0</v>
      </c>
      <c r="K164" s="5">
        <f ca="1">IFERROR(__xludf.DUMMYFUNCTION("""COMPUTED_VALUE"""),0)</f>
        <v>0</v>
      </c>
      <c r="L164" s="5">
        <f ca="1">IFERROR(__xludf.DUMMYFUNCTION("""COMPUTED_VALUE"""),0)</f>
        <v>0</v>
      </c>
      <c r="M164">
        <f ca="1">IFERROR(__xludf.DUMMYFUNCTION("""COMPUTED_VALUE"""),10)</f>
        <v>10</v>
      </c>
      <c r="N164" s="8"/>
    </row>
    <row r="165" spans="1:14" ht="12.45" hidden="1">
      <c r="A165" t="str">
        <f ca="1">IFERROR(__xludf.DUMMYFUNCTION("""COMPUTED_VALUE"""),"V-2-400")</f>
        <v>V-2-400</v>
      </c>
      <c r="B165" t="str">
        <f ca="1">IFERROR(__xludf.DUMMYFUNCTION("""COMPUTED_VALUE"""),"Смирновская")</f>
        <v>Смирновская</v>
      </c>
      <c r="C165" t="str">
        <f ca="1">IFERROR(__xludf.DUMMYFUNCTION("""COMPUTED_VALUE"""),"Настасья")</f>
        <v>Настасья</v>
      </c>
      <c r="D165" t="str">
        <f ca="1">IFERROR(__xludf.DUMMYFUNCTION("""COMPUTED_VALUE"""),"Школа 106")</f>
        <v>Школа 106</v>
      </c>
      <c r="E165" s="5">
        <f ca="1">IFERROR(__xludf.DUMMYFUNCTION("""COMPUTED_VALUE"""),2)</f>
        <v>2</v>
      </c>
      <c r="F165" s="5">
        <f ca="1">IFERROR(__xludf.DUMMYFUNCTION("""COMPUTED_VALUE"""),4)</f>
        <v>4</v>
      </c>
      <c r="G165" s="5">
        <f ca="1">IFERROR(__xludf.DUMMYFUNCTION("""COMPUTED_VALUE"""),4)</f>
        <v>4</v>
      </c>
      <c r="H165" s="5">
        <f ca="1">IFERROR(__xludf.DUMMYFUNCTION("""COMPUTED_VALUE"""),0)</f>
        <v>0</v>
      </c>
      <c r="I165" s="5">
        <f ca="1">IFERROR(__xludf.DUMMYFUNCTION("""COMPUTED_VALUE"""),0)</f>
        <v>0</v>
      </c>
      <c r="J165" s="5">
        <f ca="1">IFERROR(__xludf.DUMMYFUNCTION("""COMPUTED_VALUE"""),0)</f>
        <v>0</v>
      </c>
      <c r="K165" s="5">
        <f ca="1">IFERROR(__xludf.DUMMYFUNCTION("""COMPUTED_VALUE"""),0)</f>
        <v>0</v>
      </c>
      <c r="L165" s="5">
        <f ca="1">IFERROR(__xludf.DUMMYFUNCTION("""COMPUTED_VALUE"""),0)</f>
        <v>0</v>
      </c>
      <c r="M165">
        <f ca="1">IFERROR(__xludf.DUMMYFUNCTION("""COMPUTED_VALUE"""),10)</f>
        <v>10</v>
      </c>
      <c r="N165" s="8"/>
    </row>
    <row r="166" spans="1:14" ht="12.45" hidden="1">
      <c r="A166" t="str">
        <f ca="1">IFERROR(__xludf.DUMMYFUNCTION("""COMPUTED_VALUE"""),"V-2-313")</f>
        <v>V-2-313</v>
      </c>
      <c r="B166" t="str">
        <f ca="1">IFERROR(__xludf.DUMMYFUNCTION("""COMPUTED_VALUE"""),"Никитин")</f>
        <v>Никитин</v>
      </c>
      <c r="C166" t="str">
        <f ca="1">IFERROR(__xludf.DUMMYFUNCTION("""COMPUTED_VALUE"""),"Андрей")</f>
        <v>Андрей</v>
      </c>
      <c r="D166" t="str">
        <f ca="1">IFERROR(__xludf.DUMMYFUNCTION("""COMPUTED_VALUE"""),"Лицей 344")</f>
        <v>Лицей 344</v>
      </c>
      <c r="E166" s="5">
        <f ca="1">IFERROR(__xludf.DUMMYFUNCTION("""COMPUTED_VALUE"""),3)</f>
        <v>3</v>
      </c>
      <c r="F166" s="5">
        <f ca="1">IFERROR(__xludf.DUMMYFUNCTION("""COMPUTED_VALUE"""),1)</f>
        <v>1</v>
      </c>
      <c r="G166" s="5">
        <f ca="1">IFERROR(__xludf.DUMMYFUNCTION("""COMPUTED_VALUE"""),2)</f>
        <v>2</v>
      </c>
      <c r="H166" s="5">
        <f ca="1">IFERROR(__xludf.DUMMYFUNCTION("""COMPUTED_VALUE"""),0)</f>
        <v>0</v>
      </c>
      <c r="I166" s="5">
        <f ca="1">IFERROR(__xludf.DUMMYFUNCTION("""COMPUTED_VALUE"""),0)</f>
        <v>0</v>
      </c>
      <c r="J166" s="5">
        <f ca="1">IFERROR(__xludf.DUMMYFUNCTION("""COMPUTED_VALUE"""),0)</f>
        <v>0</v>
      </c>
      <c r="K166" s="5">
        <f ca="1">IFERROR(__xludf.DUMMYFUNCTION("""COMPUTED_VALUE"""),3)</f>
        <v>3</v>
      </c>
      <c r="L166" s="5">
        <f ca="1">IFERROR(__xludf.DUMMYFUNCTION("""COMPUTED_VALUE"""),0)</f>
        <v>0</v>
      </c>
      <c r="M166">
        <f ca="1">IFERROR(__xludf.DUMMYFUNCTION("""COMPUTED_VALUE"""),9)</f>
        <v>9</v>
      </c>
      <c r="N166" s="8"/>
    </row>
    <row r="167" spans="1:14" ht="12.45" hidden="1">
      <c r="A167" t="str">
        <f ca="1">IFERROR(__xludf.DUMMYFUNCTION("""COMPUTED_VALUE"""),"III-2-113")</f>
        <v>III-2-113</v>
      </c>
      <c r="B167" t="str">
        <f ca="1">IFERROR(__xludf.DUMMYFUNCTION("""COMPUTED_VALUE"""),"Григорьева")</f>
        <v>Григорьева</v>
      </c>
      <c r="C167" t="str">
        <f ca="1">IFERROR(__xludf.DUMMYFUNCTION("""COMPUTED_VALUE"""),"Анжелина")</f>
        <v>Анжелина</v>
      </c>
      <c r="D167" t="str">
        <f ca="1">IFERROR(__xludf.DUMMYFUNCTION("""COMPUTED_VALUE"""),"Гимназия 642")</f>
        <v>Гимназия 642</v>
      </c>
      <c r="E167" s="5">
        <f ca="1">IFERROR(__xludf.DUMMYFUNCTION("""COMPUTED_VALUE"""),3)</f>
        <v>3</v>
      </c>
      <c r="F167" s="5">
        <f ca="1">IFERROR(__xludf.DUMMYFUNCTION("""COMPUTED_VALUE"""),0)</f>
        <v>0</v>
      </c>
      <c r="G167" s="5">
        <f ca="1">IFERROR(__xludf.DUMMYFUNCTION("""COMPUTED_VALUE"""),4)</f>
        <v>4</v>
      </c>
      <c r="H167" s="5">
        <f ca="1">IFERROR(__xludf.DUMMYFUNCTION("""COMPUTED_VALUE"""),0)</f>
        <v>0</v>
      </c>
      <c r="I167" s="5">
        <f ca="1">IFERROR(__xludf.DUMMYFUNCTION("""COMPUTED_VALUE"""),0)</f>
        <v>0</v>
      </c>
      <c r="J167" s="5">
        <f ca="1">IFERROR(__xludf.DUMMYFUNCTION("""COMPUTED_VALUE"""),0)</f>
        <v>0</v>
      </c>
      <c r="K167" s="5">
        <f ca="1">IFERROR(__xludf.DUMMYFUNCTION("""COMPUTED_VALUE"""),2)</f>
        <v>2</v>
      </c>
      <c r="L167" s="5">
        <f ca="1">IFERROR(__xludf.DUMMYFUNCTION("""COMPUTED_VALUE"""),0)</f>
        <v>0</v>
      </c>
      <c r="M167">
        <f ca="1">IFERROR(__xludf.DUMMYFUNCTION("""COMPUTED_VALUE"""),9)</f>
        <v>9</v>
      </c>
      <c r="N167" s="8"/>
    </row>
    <row r="168" spans="1:14" ht="12.45" hidden="1">
      <c r="A168" t="str">
        <f ca="1">IFERROR(__xludf.DUMMYFUNCTION("""COMPUTED_VALUE"""),"III-2-179")</f>
        <v>III-2-179</v>
      </c>
      <c r="B168" t="str">
        <f ca="1">IFERROR(__xludf.DUMMYFUNCTION("""COMPUTED_VALUE"""),"Игнатович")</f>
        <v>Игнатович</v>
      </c>
      <c r="C168" t="str">
        <f ca="1">IFERROR(__xludf.DUMMYFUNCTION("""COMPUTED_VALUE"""),"Екатерина")</f>
        <v>Екатерина</v>
      </c>
      <c r="D168" t="str">
        <f ca="1">IFERROR(__xludf.DUMMYFUNCTION("""COMPUTED_VALUE"""),"Лицей 366")</f>
        <v>Лицей 366</v>
      </c>
      <c r="E168" s="5">
        <f ca="1">IFERROR(__xludf.DUMMYFUNCTION("""COMPUTED_VALUE"""),3)</f>
        <v>3</v>
      </c>
      <c r="F168" s="5">
        <f ca="1">IFERROR(__xludf.DUMMYFUNCTION("""COMPUTED_VALUE"""),1)</f>
        <v>1</v>
      </c>
      <c r="G168" s="5">
        <f ca="1">IFERROR(__xludf.DUMMYFUNCTION("""COMPUTED_VALUE"""),1)</f>
        <v>1</v>
      </c>
      <c r="H168" s="5">
        <f ca="1">IFERROR(__xludf.DUMMYFUNCTION("""COMPUTED_VALUE"""),0)</f>
        <v>0</v>
      </c>
      <c r="I168" s="5">
        <f ca="1">IFERROR(__xludf.DUMMYFUNCTION("""COMPUTED_VALUE"""),1)</f>
        <v>1</v>
      </c>
      <c r="J168" s="5">
        <f ca="1">IFERROR(__xludf.DUMMYFUNCTION("""COMPUTED_VALUE"""),3)</f>
        <v>3</v>
      </c>
      <c r="K168" s="5">
        <f ca="1">IFERROR(__xludf.DUMMYFUNCTION("""COMPUTED_VALUE"""),0)</f>
        <v>0</v>
      </c>
      <c r="L168" s="5">
        <f ca="1">IFERROR(__xludf.DUMMYFUNCTION("""COMPUTED_VALUE"""),0)</f>
        <v>0</v>
      </c>
      <c r="M168">
        <f ca="1">IFERROR(__xludf.DUMMYFUNCTION("""COMPUTED_VALUE"""),9)</f>
        <v>9</v>
      </c>
      <c r="N168" s="8"/>
    </row>
    <row r="169" spans="1:14" ht="12.45" hidden="1">
      <c r="A169" t="str">
        <f ca="1">IFERROR(__xludf.DUMMYFUNCTION("""COMPUTED_VALUE"""),"III-2-177")</f>
        <v>III-2-177</v>
      </c>
      <c r="B169" t="str">
        <f ca="1">IFERROR(__xludf.DUMMYFUNCTION("""COMPUTED_VALUE"""),"Иванова")</f>
        <v>Иванова</v>
      </c>
      <c r="C169" t="str">
        <f ca="1">IFERROR(__xludf.DUMMYFUNCTION("""COMPUTED_VALUE"""),"Ульяна")</f>
        <v>Ульяна</v>
      </c>
      <c r="D169" t="str">
        <f ca="1">IFERROR(__xludf.DUMMYFUNCTION("""COMPUTED_VALUE"""),"Лицей 344")</f>
        <v>Лицей 344</v>
      </c>
      <c r="E169" s="5">
        <f ca="1">IFERROR(__xludf.DUMMYFUNCTION("""COMPUTED_VALUE"""),3)</f>
        <v>3</v>
      </c>
      <c r="F169" s="5">
        <f ca="1">IFERROR(__xludf.DUMMYFUNCTION("""COMPUTED_VALUE"""),0)</f>
        <v>0</v>
      </c>
      <c r="G169" s="5">
        <f ca="1">IFERROR(__xludf.DUMMYFUNCTION("""COMPUTED_VALUE"""),0)</f>
        <v>0</v>
      </c>
      <c r="H169" s="5">
        <f ca="1">IFERROR(__xludf.DUMMYFUNCTION("""COMPUTED_VALUE"""),3)</f>
        <v>3</v>
      </c>
      <c r="I169" s="5">
        <f ca="1">IFERROR(__xludf.DUMMYFUNCTION("""COMPUTED_VALUE"""),0)</f>
        <v>0</v>
      </c>
      <c r="J169" s="5">
        <f ca="1">IFERROR(__xludf.DUMMYFUNCTION("""COMPUTED_VALUE"""),3)</f>
        <v>3</v>
      </c>
      <c r="K169" s="5">
        <f ca="1">IFERROR(__xludf.DUMMYFUNCTION("""COMPUTED_VALUE"""),0)</f>
        <v>0</v>
      </c>
      <c r="L169" s="5">
        <f ca="1">IFERROR(__xludf.DUMMYFUNCTION("""COMPUTED_VALUE"""),0)</f>
        <v>0</v>
      </c>
      <c r="M169">
        <f ca="1">IFERROR(__xludf.DUMMYFUNCTION("""COMPUTED_VALUE"""),9)</f>
        <v>9</v>
      </c>
      <c r="N169" s="8"/>
    </row>
    <row r="170" spans="1:14" ht="12.45" hidden="1">
      <c r="A170" t="str">
        <f ca="1">IFERROR(__xludf.DUMMYFUNCTION("""COMPUTED_VALUE"""),"III-2-048")</f>
        <v>III-2-048</v>
      </c>
      <c r="B170" t="str">
        <f ca="1">IFERROR(__xludf.DUMMYFUNCTION("""COMPUTED_VALUE"""),"Благово")</f>
        <v>Благово</v>
      </c>
      <c r="C170" t="str">
        <f ca="1">IFERROR(__xludf.DUMMYFUNCTION("""COMPUTED_VALUE"""),"Максим")</f>
        <v>Максим</v>
      </c>
      <c r="D170" t="str">
        <f ca="1">IFERROR(__xludf.DUMMYFUNCTION("""COMPUTED_VALUE"""),"Гимназия 343")</f>
        <v>Гимназия 343</v>
      </c>
      <c r="E170" s="5">
        <f ca="1">IFERROR(__xludf.DUMMYFUNCTION("""COMPUTED_VALUE"""),3)</f>
        <v>3</v>
      </c>
      <c r="F170" s="5">
        <f ca="1">IFERROR(__xludf.DUMMYFUNCTION("""COMPUTED_VALUE"""),0)</f>
        <v>0</v>
      </c>
      <c r="G170" s="5">
        <f ca="1">IFERROR(__xludf.DUMMYFUNCTION("""COMPUTED_VALUE"""),4)</f>
        <v>4</v>
      </c>
      <c r="H170" s="5">
        <f ca="1">IFERROR(__xludf.DUMMYFUNCTION("""COMPUTED_VALUE"""),0)</f>
        <v>0</v>
      </c>
      <c r="I170" s="5">
        <f ca="1">IFERROR(__xludf.DUMMYFUNCTION("""COMPUTED_VALUE"""),0)</f>
        <v>0</v>
      </c>
      <c r="J170" s="5">
        <f ca="1">IFERROR(__xludf.DUMMYFUNCTION("""COMPUTED_VALUE"""),2)</f>
        <v>2</v>
      </c>
      <c r="K170" s="5">
        <f ca="1">IFERROR(__xludf.DUMMYFUNCTION("""COMPUTED_VALUE"""),0)</f>
        <v>0</v>
      </c>
      <c r="L170" s="5">
        <f ca="1">IFERROR(__xludf.DUMMYFUNCTION("""COMPUTED_VALUE"""),0)</f>
        <v>0</v>
      </c>
      <c r="M170">
        <f ca="1">IFERROR(__xludf.DUMMYFUNCTION("""COMPUTED_VALUE"""),9)</f>
        <v>9</v>
      </c>
      <c r="N170" s="8"/>
    </row>
    <row r="171" spans="1:14" ht="12.45" hidden="1">
      <c r="A171" t="str">
        <f ca="1">IFERROR(__xludf.DUMMYFUNCTION("""COMPUTED_VALUE"""),"III-2-066")</f>
        <v>III-2-066</v>
      </c>
      <c r="B171" t="str">
        <f ca="1">IFERROR(__xludf.DUMMYFUNCTION("""COMPUTED_VALUE"""),"Буровик")</f>
        <v>Буровик</v>
      </c>
      <c r="C171" t="str">
        <f ca="1">IFERROR(__xludf.DUMMYFUNCTION("""COMPUTED_VALUE"""),"Нелли")</f>
        <v>Нелли</v>
      </c>
      <c r="D171" t="str">
        <f ca="1">IFERROR(__xludf.DUMMYFUNCTION("""COMPUTED_VALUE"""),"Лицей 179")</f>
        <v>Лицей 179</v>
      </c>
      <c r="E171" s="5">
        <f ca="1">IFERROR(__xludf.DUMMYFUNCTION("""COMPUTED_VALUE"""),3)</f>
        <v>3</v>
      </c>
      <c r="F171" s="5">
        <f ca="1">IFERROR(__xludf.DUMMYFUNCTION("""COMPUTED_VALUE"""),0)</f>
        <v>0</v>
      </c>
      <c r="G171" s="5">
        <f ca="1">IFERROR(__xludf.DUMMYFUNCTION("""COMPUTED_VALUE"""),4)</f>
        <v>4</v>
      </c>
      <c r="H171" s="5">
        <f ca="1">IFERROR(__xludf.DUMMYFUNCTION("""COMPUTED_VALUE"""),0)</f>
        <v>0</v>
      </c>
      <c r="I171" s="5">
        <f ca="1">IFERROR(__xludf.DUMMYFUNCTION("""COMPUTED_VALUE"""),0)</f>
        <v>0</v>
      </c>
      <c r="J171" s="5">
        <f ca="1">IFERROR(__xludf.DUMMYFUNCTION("""COMPUTED_VALUE"""),2)</f>
        <v>2</v>
      </c>
      <c r="K171" s="5">
        <f ca="1">IFERROR(__xludf.DUMMYFUNCTION("""COMPUTED_VALUE"""),0)</f>
        <v>0</v>
      </c>
      <c r="L171" s="5">
        <f ca="1">IFERROR(__xludf.DUMMYFUNCTION("""COMPUTED_VALUE"""),0)</f>
        <v>0</v>
      </c>
      <c r="M171">
        <f ca="1">IFERROR(__xludf.DUMMYFUNCTION("""COMPUTED_VALUE"""),9)</f>
        <v>9</v>
      </c>
      <c r="N171" s="8"/>
    </row>
    <row r="172" spans="1:14" ht="12.45" hidden="1">
      <c r="A172" t="str">
        <f ca="1">IFERROR(__xludf.DUMMYFUNCTION("""COMPUTED_VALUE"""),"V-2-417")</f>
        <v>V-2-417</v>
      </c>
      <c r="B172" t="str">
        <f ca="1">IFERROR(__xludf.DUMMYFUNCTION("""COMPUTED_VALUE"""),"Сукачев")</f>
        <v>Сукачев</v>
      </c>
      <c r="C172" t="str">
        <f ca="1">IFERROR(__xludf.DUMMYFUNCTION("""COMPUTED_VALUE"""),"Герман")</f>
        <v>Герман</v>
      </c>
      <c r="D172" t="str">
        <f ca="1">IFERROR(__xludf.DUMMYFUNCTION("""COMPUTED_VALUE"""),"Школа 471")</f>
        <v>Школа 471</v>
      </c>
      <c r="E172" s="5">
        <f ca="1">IFERROR(__xludf.DUMMYFUNCTION("""COMPUTED_VALUE"""),0)</f>
        <v>0</v>
      </c>
      <c r="F172" s="5">
        <f ca="1">IFERROR(__xludf.DUMMYFUNCTION("""COMPUTED_VALUE"""),0)</f>
        <v>0</v>
      </c>
      <c r="G172" s="5">
        <f ca="1">IFERROR(__xludf.DUMMYFUNCTION("""COMPUTED_VALUE"""),4)</f>
        <v>4</v>
      </c>
      <c r="H172" s="5">
        <f ca="1">IFERROR(__xludf.DUMMYFUNCTION("""COMPUTED_VALUE"""),0)</f>
        <v>0</v>
      </c>
      <c r="I172" s="5">
        <f ca="1">IFERROR(__xludf.DUMMYFUNCTION("""COMPUTED_VALUE"""),5)</f>
        <v>5</v>
      </c>
      <c r="J172" s="5">
        <f ca="1">IFERROR(__xludf.DUMMYFUNCTION("""COMPUTED_VALUE"""),0)</f>
        <v>0</v>
      </c>
      <c r="K172" s="5">
        <f ca="1">IFERROR(__xludf.DUMMYFUNCTION("""COMPUTED_VALUE"""),0)</f>
        <v>0</v>
      </c>
      <c r="L172" s="5">
        <f ca="1">IFERROR(__xludf.DUMMYFUNCTION("""COMPUTED_VALUE"""),0)</f>
        <v>0</v>
      </c>
      <c r="M172">
        <f ca="1">IFERROR(__xludf.DUMMYFUNCTION("""COMPUTED_VALUE"""),9)</f>
        <v>9</v>
      </c>
      <c r="N172" s="8"/>
    </row>
    <row r="173" spans="1:14" ht="12.45" hidden="1">
      <c r="A173" t="str">
        <f ca="1">IFERROR(__xludf.DUMMYFUNCTION("""COMPUTED_VALUE"""),"III-2-191")</f>
        <v>III-2-191</v>
      </c>
      <c r="B173" t="str">
        <f ca="1">IFERROR(__xludf.DUMMYFUNCTION("""COMPUTED_VALUE"""),"Карасева")</f>
        <v>Карасева</v>
      </c>
      <c r="C173" t="str">
        <f ca="1">IFERROR(__xludf.DUMMYFUNCTION("""COMPUTED_VALUE"""),"Алёна")</f>
        <v>Алёна</v>
      </c>
      <c r="D173" t="str">
        <f ca="1">IFERROR(__xludf.DUMMYFUNCTION("""COMPUTED_VALUE"""),"Гимназия 271")</f>
        <v>Гимназия 271</v>
      </c>
      <c r="E173" s="5">
        <f ca="1">IFERROR(__xludf.DUMMYFUNCTION("""COMPUTED_VALUE"""),1)</f>
        <v>1</v>
      </c>
      <c r="F173" s="5">
        <f ca="1">IFERROR(__xludf.DUMMYFUNCTION("""COMPUTED_VALUE"""),4)</f>
        <v>4</v>
      </c>
      <c r="G173" s="5">
        <f ca="1">IFERROR(__xludf.DUMMYFUNCTION("""COMPUTED_VALUE"""),0)</f>
        <v>0</v>
      </c>
      <c r="H173" s="5">
        <f ca="1">IFERROR(__xludf.DUMMYFUNCTION("""COMPUTED_VALUE"""),3)</f>
        <v>3</v>
      </c>
      <c r="I173" s="5">
        <f ca="1">IFERROR(__xludf.DUMMYFUNCTION("""COMPUTED_VALUE"""),1)</f>
        <v>1</v>
      </c>
      <c r="J173" s="5">
        <f ca="1">IFERROR(__xludf.DUMMYFUNCTION("""COMPUTED_VALUE"""),0)</f>
        <v>0</v>
      </c>
      <c r="K173" s="5">
        <f ca="1">IFERROR(__xludf.DUMMYFUNCTION("""COMPUTED_VALUE"""),0)</f>
        <v>0</v>
      </c>
      <c r="L173" s="5">
        <f ca="1">IFERROR(__xludf.DUMMYFUNCTION("""COMPUTED_VALUE"""),0)</f>
        <v>0</v>
      </c>
      <c r="M173">
        <f ca="1">IFERROR(__xludf.DUMMYFUNCTION("""COMPUTED_VALUE"""),9)</f>
        <v>9</v>
      </c>
      <c r="N173" s="8"/>
    </row>
    <row r="174" spans="1:14" ht="12.45" hidden="1">
      <c r="A174" t="str">
        <f ca="1">IFERROR(__xludf.DUMMYFUNCTION("""COMPUTED_VALUE"""),"V-2-251")</f>
        <v>V-2-251</v>
      </c>
      <c r="B174" t="str">
        <f ca="1">IFERROR(__xludf.DUMMYFUNCTION("""COMPUTED_VALUE"""),"Лемеш")</f>
        <v>Лемеш</v>
      </c>
      <c r="C174" t="str">
        <f ca="1">IFERROR(__xludf.DUMMYFUNCTION("""COMPUTED_VALUE"""),"Дмитрий")</f>
        <v>Дмитрий</v>
      </c>
      <c r="D174" t="str">
        <f ca="1">IFERROR(__xludf.DUMMYFUNCTION("""COMPUTED_VALUE"""),"Школа 625")</f>
        <v>Школа 625</v>
      </c>
      <c r="E174" s="5">
        <f ca="1">IFERROR(__xludf.DUMMYFUNCTION("""COMPUTED_VALUE"""),0)</f>
        <v>0</v>
      </c>
      <c r="F174" s="5">
        <f ca="1">IFERROR(__xludf.DUMMYFUNCTION("""COMPUTED_VALUE"""),4)</f>
        <v>4</v>
      </c>
      <c r="G174" s="5">
        <f ca="1">IFERROR(__xludf.DUMMYFUNCTION("""COMPUTED_VALUE"""),4)</f>
        <v>4</v>
      </c>
      <c r="H174" s="5">
        <f ca="1">IFERROR(__xludf.DUMMYFUNCTION("""COMPUTED_VALUE"""),0)</f>
        <v>0</v>
      </c>
      <c r="I174" s="5">
        <f ca="1">IFERROR(__xludf.DUMMYFUNCTION("""COMPUTED_VALUE"""),1)</f>
        <v>1</v>
      </c>
      <c r="J174" s="5">
        <f ca="1">IFERROR(__xludf.DUMMYFUNCTION("""COMPUTED_VALUE"""),0)</f>
        <v>0</v>
      </c>
      <c r="K174" s="5">
        <f ca="1">IFERROR(__xludf.DUMMYFUNCTION("""COMPUTED_VALUE"""),0)</f>
        <v>0</v>
      </c>
      <c r="L174" s="5">
        <f ca="1">IFERROR(__xludf.DUMMYFUNCTION("""COMPUTED_VALUE"""),0)</f>
        <v>0</v>
      </c>
      <c r="M174">
        <f ca="1">IFERROR(__xludf.DUMMYFUNCTION("""COMPUTED_VALUE"""),9)</f>
        <v>9</v>
      </c>
      <c r="N174" s="8"/>
    </row>
    <row r="175" spans="1:14" ht="12.45" hidden="1">
      <c r="A175" t="str">
        <f ca="1">IFERROR(__xludf.DUMMYFUNCTION("""COMPUTED_VALUE"""),"V-2-365")</f>
        <v>V-2-365</v>
      </c>
      <c r="B175" t="str">
        <f ca="1">IFERROR(__xludf.DUMMYFUNCTION("""COMPUTED_VALUE"""),"Рябкин-Гупало")</f>
        <v>Рябкин-Гупало</v>
      </c>
      <c r="C175" t="str">
        <f ca="1">IFERROR(__xludf.DUMMYFUNCTION("""COMPUTED_VALUE"""),"Артемий")</f>
        <v>Артемий</v>
      </c>
      <c r="D175" t="str">
        <f ca="1">IFERROR(__xludf.DUMMYFUNCTION("""COMPUTED_VALUE"""),"Гимназия 642 ""Земля и Вселенная""")</f>
        <v>Гимназия 642 "Земля и Вселенная"</v>
      </c>
      <c r="E175" s="5">
        <f ca="1">IFERROR(__xludf.DUMMYFUNCTION("""COMPUTED_VALUE"""),3)</f>
        <v>3</v>
      </c>
      <c r="F175" s="5">
        <f ca="1">IFERROR(__xludf.DUMMYFUNCTION("""COMPUTED_VALUE"""),1)</f>
        <v>1</v>
      </c>
      <c r="G175" s="5">
        <f ca="1">IFERROR(__xludf.DUMMYFUNCTION("""COMPUTED_VALUE"""),4)</f>
        <v>4</v>
      </c>
      <c r="H175" s="5">
        <f ca="1">IFERROR(__xludf.DUMMYFUNCTION("""COMPUTED_VALUE"""),0)</f>
        <v>0</v>
      </c>
      <c r="I175" s="5">
        <f ca="1">IFERROR(__xludf.DUMMYFUNCTION("""COMPUTED_VALUE"""),1)</f>
        <v>1</v>
      </c>
      <c r="J175" s="5">
        <f ca="1">IFERROR(__xludf.DUMMYFUNCTION("""COMPUTED_VALUE"""),0)</f>
        <v>0</v>
      </c>
      <c r="K175" s="5">
        <f ca="1">IFERROR(__xludf.DUMMYFUNCTION("""COMPUTED_VALUE"""),0)</f>
        <v>0</v>
      </c>
      <c r="L175" s="5">
        <f ca="1">IFERROR(__xludf.DUMMYFUNCTION("""COMPUTED_VALUE"""),0)</f>
        <v>0</v>
      </c>
      <c r="M175">
        <f ca="1">IFERROR(__xludf.DUMMYFUNCTION("""COMPUTED_VALUE"""),9)</f>
        <v>9</v>
      </c>
      <c r="N175" s="8"/>
    </row>
    <row r="176" spans="1:14" ht="12.45" hidden="1">
      <c r="A176" t="str">
        <f ca="1">IFERROR(__xludf.DUMMYFUNCTION("""COMPUTED_VALUE"""),"V-2-386")</f>
        <v>V-2-386</v>
      </c>
      <c r="B176" t="str">
        <f ca="1">IFERROR(__xludf.DUMMYFUNCTION("""COMPUTED_VALUE"""),"Силкин")</f>
        <v>Силкин</v>
      </c>
      <c r="C176" t="str">
        <f ca="1">IFERROR(__xludf.DUMMYFUNCTION("""COMPUTED_VALUE"""),"Василий")</f>
        <v>Василий</v>
      </c>
      <c r="D176" t="str">
        <f ca="1">IFERROR(__xludf.DUMMYFUNCTION("""COMPUTED_VALUE"""),"Школа Квадривиум")</f>
        <v>Школа Квадривиум</v>
      </c>
      <c r="E176" s="5">
        <f ca="1">IFERROR(__xludf.DUMMYFUNCTION("""COMPUTED_VALUE"""),3)</f>
        <v>3</v>
      </c>
      <c r="F176" s="5">
        <f ca="1">IFERROR(__xludf.DUMMYFUNCTION("""COMPUTED_VALUE"""),0)</f>
        <v>0</v>
      </c>
      <c r="G176" s="5">
        <f ca="1">IFERROR(__xludf.DUMMYFUNCTION("""COMPUTED_VALUE"""),4)</f>
        <v>4</v>
      </c>
      <c r="H176" s="5">
        <f ca="1">IFERROR(__xludf.DUMMYFUNCTION("""COMPUTED_VALUE"""),2)</f>
        <v>2</v>
      </c>
      <c r="I176" s="5">
        <f ca="1">IFERROR(__xludf.DUMMYFUNCTION("""COMPUTED_VALUE"""),0)</f>
        <v>0</v>
      </c>
      <c r="J176" s="5">
        <f ca="1">IFERROR(__xludf.DUMMYFUNCTION("""COMPUTED_VALUE"""),0)</f>
        <v>0</v>
      </c>
      <c r="K176" s="5">
        <f ca="1">IFERROR(__xludf.DUMMYFUNCTION("""COMPUTED_VALUE"""),0)</f>
        <v>0</v>
      </c>
      <c r="L176" s="5">
        <f ca="1">IFERROR(__xludf.DUMMYFUNCTION("""COMPUTED_VALUE"""),0)</f>
        <v>0</v>
      </c>
      <c r="M176">
        <f ca="1">IFERROR(__xludf.DUMMYFUNCTION("""COMPUTED_VALUE"""),9)</f>
        <v>9</v>
      </c>
      <c r="N176" s="8"/>
    </row>
    <row r="177" spans="1:14" ht="12.45" hidden="1">
      <c r="A177" t="str">
        <f ca="1">IFERROR(__xludf.DUMMYFUNCTION("""COMPUTED_VALUE"""),"III-2-053")</f>
        <v>III-2-053</v>
      </c>
      <c r="B177" t="str">
        <f ca="1">IFERROR(__xludf.DUMMYFUNCTION("""COMPUTED_VALUE"""),"Богданова")</f>
        <v>Богданова</v>
      </c>
      <c r="C177" t="str">
        <f ca="1">IFERROR(__xludf.DUMMYFUNCTION("""COMPUTED_VALUE"""),"Кристина")</f>
        <v>Кристина</v>
      </c>
      <c r="D177" t="str">
        <f ca="1">IFERROR(__xludf.DUMMYFUNCTION("""COMPUTED_VALUE"""),"Гимназия 63")</f>
        <v>Гимназия 63</v>
      </c>
      <c r="E177" s="5">
        <f ca="1">IFERROR(__xludf.DUMMYFUNCTION("""COMPUTED_VALUE"""),3)</f>
        <v>3</v>
      </c>
      <c r="F177" s="5">
        <f ca="1">IFERROR(__xludf.DUMMYFUNCTION("""COMPUTED_VALUE"""),0)</f>
        <v>0</v>
      </c>
      <c r="G177" s="5">
        <f ca="1">IFERROR(__xludf.DUMMYFUNCTION("""COMPUTED_VALUE"""),4)</f>
        <v>4</v>
      </c>
      <c r="H177" s="5">
        <f ca="1">IFERROR(__xludf.DUMMYFUNCTION("""COMPUTED_VALUE"""),2)</f>
        <v>2</v>
      </c>
      <c r="I177" s="5">
        <f ca="1">IFERROR(__xludf.DUMMYFUNCTION("""COMPUTED_VALUE"""),0)</f>
        <v>0</v>
      </c>
      <c r="J177" s="5">
        <f ca="1">IFERROR(__xludf.DUMMYFUNCTION("""COMPUTED_VALUE"""),0)</f>
        <v>0</v>
      </c>
      <c r="K177" s="5">
        <f ca="1">IFERROR(__xludf.DUMMYFUNCTION("""COMPUTED_VALUE"""),0)</f>
        <v>0</v>
      </c>
      <c r="L177" s="5">
        <f ca="1">IFERROR(__xludf.DUMMYFUNCTION("""COMPUTED_VALUE"""),0)</f>
        <v>0</v>
      </c>
      <c r="M177">
        <f ca="1">IFERROR(__xludf.DUMMYFUNCTION("""COMPUTED_VALUE"""),9)</f>
        <v>9</v>
      </c>
      <c r="N177" s="8"/>
    </row>
    <row r="178" spans="1:14" ht="12.45" hidden="1">
      <c r="A178" t="str">
        <f ca="1">IFERROR(__xludf.DUMMYFUNCTION("""COMPUTED_VALUE"""),"III-2-010")</f>
        <v>III-2-010</v>
      </c>
      <c r="B178" t="str">
        <f ca="1">IFERROR(__xludf.DUMMYFUNCTION("""COMPUTED_VALUE"""),"Алексеева")</f>
        <v>Алексеева</v>
      </c>
      <c r="C178" t="str">
        <f ca="1">IFERROR(__xludf.DUMMYFUNCTION("""COMPUTED_VALUE"""),"Анастасия")</f>
        <v>Анастасия</v>
      </c>
      <c r="D178" t="str">
        <f ca="1">IFERROR(__xludf.DUMMYFUNCTION("""COMPUTED_VALUE"""),"Гимназия 628")</f>
        <v>Гимназия 628</v>
      </c>
      <c r="E178" s="5">
        <f ca="1">IFERROR(__xludf.DUMMYFUNCTION("""COMPUTED_VALUE"""),1)</f>
        <v>1</v>
      </c>
      <c r="F178" s="5">
        <f ca="1">IFERROR(__xludf.DUMMYFUNCTION("""COMPUTED_VALUE"""),4)</f>
        <v>4</v>
      </c>
      <c r="G178" s="5">
        <f ca="1">IFERROR(__xludf.DUMMYFUNCTION("""COMPUTED_VALUE"""),4)</f>
        <v>4</v>
      </c>
      <c r="H178" s="5">
        <f ca="1">IFERROR(__xludf.DUMMYFUNCTION("""COMPUTED_VALUE"""),0)</f>
        <v>0</v>
      </c>
      <c r="I178" s="5">
        <f ca="1">IFERROR(__xludf.DUMMYFUNCTION("""COMPUTED_VALUE"""),0)</f>
        <v>0</v>
      </c>
      <c r="J178" s="5">
        <f ca="1">IFERROR(__xludf.DUMMYFUNCTION("""COMPUTED_VALUE"""),0)</f>
        <v>0</v>
      </c>
      <c r="K178" s="5">
        <f ca="1">IFERROR(__xludf.DUMMYFUNCTION("""COMPUTED_VALUE"""),0)</f>
        <v>0</v>
      </c>
      <c r="L178" s="5">
        <f ca="1">IFERROR(__xludf.DUMMYFUNCTION("""COMPUTED_VALUE"""),0)</f>
        <v>0</v>
      </c>
      <c r="M178">
        <f ca="1">IFERROR(__xludf.DUMMYFUNCTION("""COMPUTED_VALUE"""),9)</f>
        <v>9</v>
      </c>
      <c r="N178" s="8"/>
    </row>
    <row r="179" spans="1:14" ht="12.45" hidden="1">
      <c r="A179" t="str">
        <f ca="1">IFERROR(__xludf.DUMMYFUNCTION("""COMPUTED_VALUE"""),"III-2-114")</f>
        <v>III-2-114</v>
      </c>
      <c r="B179" t="str">
        <f ca="1">IFERROR(__xludf.DUMMYFUNCTION("""COMPUTED_VALUE"""),"Григорян")</f>
        <v>Григорян</v>
      </c>
      <c r="C179" t="str">
        <f ca="1">IFERROR(__xludf.DUMMYFUNCTION("""COMPUTED_VALUE"""),"Давид")</f>
        <v>Давид</v>
      </c>
      <c r="D179" t="str">
        <f ca="1">IFERROR(__xludf.DUMMYFUNCTION("""COMPUTED_VALUE"""),"Школа 45")</f>
        <v>Школа 45</v>
      </c>
      <c r="E179" s="5">
        <f ca="1">IFERROR(__xludf.DUMMYFUNCTION("""COMPUTED_VALUE"""),1)</f>
        <v>1</v>
      </c>
      <c r="F179" s="5">
        <f ca="1">IFERROR(__xludf.DUMMYFUNCTION("""COMPUTED_VALUE"""),4)</f>
        <v>4</v>
      </c>
      <c r="G179" s="5">
        <f ca="1">IFERROR(__xludf.DUMMYFUNCTION("""COMPUTED_VALUE"""),4)</f>
        <v>4</v>
      </c>
      <c r="H179" s="5">
        <f ca="1">IFERROR(__xludf.DUMMYFUNCTION("""COMPUTED_VALUE"""),0)</f>
        <v>0</v>
      </c>
      <c r="I179" s="5">
        <f ca="1">IFERROR(__xludf.DUMMYFUNCTION("""COMPUTED_VALUE"""),0)</f>
        <v>0</v>
      </c>
      <c r="J179" s="5">
        <f ca="1">IFERROR(__xludf.DUMMYFUNCTION("""COMPUTED_VALUE"""),0)</f>
        <v>0</v>
      </c>
      <c r="K179" s="5">
        <f ca="1">IFERROR(__xludf.DUMMYFUNCTION("""COMPUTED_VALUE"""),0)</f>
        <v>0</v>
      </c>
      <c r="L179" s="5">
        <f ca="1">IFERROR(__xludf.DUMMYFUNCTION("""COMPUTED_VALUE"""),0)</f>
        <v>0</v>
      </c>
      <c r="M179">
        <f ca="1">IFERROR(__xludf.DUMMYFUNCTION("""COMPUTED_VALUE"""),9)</f>
        <v>9</v>
      </c>
      <c r="N179" s="8"/>
    </row>
    <row r="180" spans="1:14" ht="12.45" hidden="1">
      <c r="A180" t="str">
        <f ca="1">IFERROR(__xludf.DUMMYFUNCTION("""COMPUTED_VALUE"""),"III-2-173")</f>
        <v>III-2-173</v>
      </c>
      <c r="B180" t="str">
        <f ca="1">IFERROR(__xludf.DUMMYFUNCTION("""COMPUTED_VALUE"""),"Иванов")</f>
        <v>Иванов</v>
      </c>
      <c r="C180" t="str">
        <f ca="1">IFERROR(__xludf.DUMMYFUNCTION("""COMPUTED_VALUE"""),"Алексей")</f>
        <v>Алексей</v>
      </c>
      <c r="D180" t="str">
        <f ca="1">IFERROR(__xludf.DUMMYFUNCTION("""COMPUTED_VALUE"""),"Школа 635")</f>
        <v>Школа 635</v>
      </c>
      <c r="E180" s="5">
        <f ca="1">IFERROR(__xludf.DUMMYFUNCTION("""COMPUTED_VALUE"""),3)</f>
        <v>3</v>
      </c>
      <c r="F180" s="5">
        <f ca="1">IFERROR(__xludf.DUMMYFUNCTION("""COMPUTED_VALUE"""),4)</f>
        <v>4</v>
      </c>
      <c r="G180" s="5">
        <f ca="1">IFERROR(__xludf.DUMMYFUNCTION("""COMPUTED_VALUE"""),2)</f>
        <v>2</v>
      </c>
      <c r="H180" s="5">
        <f ca="1">IFERROR(__xludf.DUMMYFUNCTION("""COMPUTED_VALUE"""),0)</f>
        <v>0</v>
      </c>
      <c r="I180" s="5">
        <f ca="1">IFERROR(__xludf.DUMMYFUNCTION("""COMPUTED_VALUE"""),0)</f>
        <v>0</v>
      </c>
      <c r="J180" s="5">
        <f ca="1">IFERROR(__xludf.DUMMYFUNCTION("""COMPUTED_VALUE"""),0)</f>
        <v>0</v>
      </c>
      <c r="K180" s="5">
        <f ca="1">IFERROR(__xludf.DUMMYFUNCTION("""COMPUTED_VALUE"""),0)</f>
        <v>0</v>
      </c>
      <c r="L180" s="5">
        <f ca="1">IFERROR(__xludf.DUMMYFUNCTION("""COMPUTED_VALUE"""),0)</f>
        <v>0</v>
      </c>
      <c r="M180">
        <f ca="1">IFERROR(__xludf.DUMMYFUNCTION("""COMPUTED_VALUE"""),9)</f>
        <v>9</v>
      </c>
      <c r="N180" s="8"/>
    </row>
    <row r="181" spans="1:14" ht="12.45" hidden="1">
      <c r="A181" t="str">
        <f ca="1">IFERROR(__xludf.DUMMYFUNCTION("""COMPUTED_VALUE"""),"V-2-469")</f>
        <v>V-2-469</v>
      </c>
      <c r="B181" t="str">
        <f ca="1">IFERROR(__xludf.DUMMYFUNCTION("""COMPUTED_VALUE"""),"Ширяева")</f>
        <v>Ширяева</v>
      </c>
      <c r="C181" t="str">
        <f ca="1">IFERROR(__xludf.DUMMYFUNCTION("""COMPUTED_VALUE"""),"Полина")</f>
        <v>Полина</v>
      </c>
      <c r="D181" t="str">
        <f ca="1">IFERROR(__xludf.DUMMYFUNCTION("""COMPUTED_VALUE"""),"Гимназия 271")</f>
        <v>Гимназия 271</v>
      </c>
      <c r="E181" s="5">
        <f ca="1">IFERROR(__xludf.DUMMYFUNCTION("""COMPUTED_VALUE"""),3)</f>
        <v>3</v>
      </c>
      <c r="F181" s="5">
        <f ca="1">IFERROR(__xludf.DUMMYFUNCTION("""COMPUTED_VALUE"""),0)</f>
        <v>0</v>
      </c>
      <c r="G181" s="5">
        <f ca="1">IFERROR(__xludf.DUMMYFUNCTION("""COMPUTED_VALUE"""),0)</f>
        <v>0</v>
      </c>
      <c r="H181" s="5">
        <f ca="1">IFERROR(__xludf.DUMMYFUNCTION("""COMPUTED_VALUE"""),0)</f>
        <v>0</v>
      </c>
      <c r="I181" s="5">
        <f ca="1">IFERROR(__xludf.DUMMYFUNCTION("""COMPUTED_VALUE"""),3)</f>
        <v>3</v>
      </c>
      <c r="J181" s="5">
        <f ca="1">IFERROR(__xludf.DUMMYFUNCTION("""COMPUTED_VALUE"""),2)</f>
        <v>2</v>
      </c>
      <c r="K181" s="5">
        <f ca="1">IFERROR(__xludf.DUMMYFUNCTION("""COMPUTED_VALUE"""),0)</f>
        <v>0</v>
      </c>
      <c r="L181" s="5">
        <f ca="1">IFERROR(__xludf.DUMMYFUNCTION("""COMPUTED_VALUE"""),0)</f>
        <v>0</v>
      </c>
      <c r="M181">
        <f ca="1">IFERROR(__xludf.DUMMYFUNCTION("""COMPUTED_VALUE"""),8)</f>
        <v>8</v>
      </c>
      <c r="N181" s="8"/>
    </row>
    <row r="182" spans="1:14" ht="12.45" hidden="1">
      <c r="A182" t="str">
        <f ca="1">IFERROR(__xludf.DUMMYFUNCTION("""COMPUTED_VALUE"""),"III-2-012")</f>
        <v>III-2-012</v>
      </c>
      <c r="B182" t="str">
        <f ca="1">IFERROR(__xludf.DUMMYFUNCTION("""COMPUTED_VALUE"""),"Алексеева")</f>
        <v>Алексеева</v>
      </c>
      <c r="C182" t="str">
        <f ca="1">IFERROR(__xludf.DUMMYFUNCTION("""COMPUTED_VALUE"""),"Анастасия")</f>
        <v>Анастасия</v>
      </c>
      <c r="D182" t="str">
        <f ca="1">IFERROR(__xludf.DUMMYFUNCTION("""COMPUTED_VALUE"""),"Гимназия 157")</f>
        <v>Гимназия 157</v>
      </c>
      <c r="E182" s="5">
        <f ca="1">IFERROR(__xludf.DUMMYFUNCTION("""COMPUTED_VALUE"""),3)</f>
        <v>3</v>
      </c>
      <c r="F182" s="5">
        <f ca="1">IFERROR(__xludf.DUMMYFUNCTION("""COMPUTED_VALUE"""),0)</f>
        <v>0</v>
      </c>
      <c r="G182" s="5">
        <f ca="1">IFERROR(__xludf.DUMMYFUNCTION("""COMPUTED_VALUE"""),0)</f>
        <v>0</v>
      </c>
      <c r="H182" s="5">
        <f ca="1">IFERROR(__xludf.DUMMYFUNCTION("""COMPUTED_VALUE"""),0)</f>
        <v>0</v>
      </c>
      <c r="I182" s="5">
        <f ca="1">IFERROR(__xludf.DUMMYFUNCTION("""COMPUTED_VALUE"""),5)</f>
        <v>5</v>
      </c>
      <c r="J182" s="5">
        <f ca="1">IFERROR(__xludf.DUMMYFUNCTION("""COMPUTED_VALUE"""),0)</f>
        <v>0</v>
      </c>
      <c r="K182" s="5">
        <f ca="1">IFERROR(__xludf.DUMMYFUNCTION("""COMPUTED_VALUE"""),0)</f>
        <v>0</v>
      </c>
      <c r="L182" s="5">
        <f ca="1">IFERROR(__xludf.DUMMYFUNCTION("""COMPUTED_VALUE"""),0)</f>
        <v>0</v>
      </c>
      <c r="M182">
        <f ca="1">IFERROR(__xludf.DUMMYFUNCTION("""COMPUTED_VALUE"""),8)</f>
        <v>8</v>
      </c>
      <c r="N182" s="8"/>
    </row>
    <row r="183" spans="1:14" ht="12.45" hidden="1">
      <c r="A183" t="str">
        <f ca="1">IFERROR(__xludf.DUMMYFUNCTION("""COMPUTED_VALUE"""),"V-2-432")</f>
        <v>V-2-432</v>
      </c>
      <c r="B183" t="str">
        <f ca="1">IFERROR(__xludf.DUMMYFUNCTION("""COMPUTED_VALUE"""),"Улитовский")</f>
        <v>Улитовский</v>
      </c>
      <c r="C183" t="str">
        <f ca="1">IFERROR(__xludf.DUMMYFUNCTION("""COMPUTED_VALUE"""),"Фёдор")</f>
        <v>Фёдор</v>
      </c>
      <c r="D183" t="str">
        <f ca="1">IFERROR(__xludf.DUMMYFUNCTION("""COMPUTED_VALUE"""),"Лицей 470")</f>
        <v>Лицей 470</v>
      </c>
      <c r="E183" s="5">
        <f ca="1">IFERROR(__xludf.DUMMYFUNCTION("""COMPUTED_VALUE"""),0)</f>
        <v>0</v>
      </c>
      <c r="F183" s="5">
        <f ca="1">IFERROR(__xludf.DUMMYFUNCTION("""COMPUTED_VALUE"""),1)</f>
        <v>1</v>
      </c>
      <c r="G183" s="5">
        <f ca="1">IFERROR(__xludf.DUMMYFUNCTION("""COMPUTED_VALUE"""),4)</f>
        <v>4</v>
      </c>
      <c r="H183" s="5">
        <f ca="1">IFERROR(__xludf.DUMMYFUNCTION("""COMPUTED_VALUE"""),0)</f>
        <v>0</v>
      </c>
      <c r="I183" s="5">
        <f ca="1">IFERROR(__xludf.DUMMYFUNCTION("""COMPUTED_VALUE"""),3)</f>
        <v>3</v>
      </c>
      <c r="J183" s="5">
        <f ca="1">IFERROR(__xludf.DUMMYFUNCTION("""COMPUTED_VALUE"""),0)</f>
        <v>0</v>
      </c>
      <c r="K183" s="5">
        <f ca="1">IFERROR(__xludf.DUMMYFUNCTION("""COMPUTED_VALUE"""),0)</f>
        <v>0</v>
      </c>
      <c r="L183" s="5">
        <f ca="1">IFERROR(__xludf.DUMMYFUNCTION("""COMPUTED_VALUE"""),0)</f>
        <v>0</v>
      </c>
      <c r="M183">
        <f ca="1">IFERROR(__xludf.DUMMYFUNCTION("""COMPUTED_VALUE"""),8)</f>
        <v>8</v>
      </c>
      <c r="N183" s="8"/>
    </row>
    <row r="184" spans="1:14" ht="12.45" hidden="1">
      <c r="A184" t="str">
        <f ca="1">IFERROR(__xludf.DUMMYFUNCTION("""COMPUTED_VALUE"""),"V-2-451")</f>
        <v>V-2-451</v>
      </c>
      <c r="B184" t="str">
        <f ca="1">IFERROR(__xludf.DUMMYFUNCTION("""COMPUTED_VALUE"""),"Хлызов")</f>
        <v>Хлызов</v>
      </c>
      <c r="C184" t="str">
        <f ca="1">IFERROR(__xludf.DUMMYFUNCTION("""COMPUTED_VALUE"""),"Всеволод")</f>
        <v>Всеволод</v>
      </c>
      <c r="D184" t="str">
        <f ca="1">IFERROR(__xludf.DUMMYFUNCTION("""COMPUTED_VALUE"""),"Школа 183")</f>
        <v>Школа 183</v>
      </c>
      <c r="E184" s="5">
        <f ca="1">IFERROR(__xludf.DUMMYFUNCTION("""COMPUTED_VALUE"""),3)</f>
        <v>3</v>
      </c>
      <c r="F184" s="5">
        <f ca="1">IFERROR(__xludf.DUMMYFUNCTION("""COMPUTED_VALUE"""),0)</f>
        <v>0</v>
      </c>
      <c r="G184" s="5">
        <f ca="1">IFERROR(__xludf.DUMMYFUNCTION("""COMPUTED_VALUE"""),2)</f>
        <v>2</v>
      </c>
      <c r="H184" s="5">
        <f ca="1">IFERROR(__xludf.DUMMYFUNCTION("""COMPUTED_VALUE"""),0)</f>
        <v>0</v>
      </c>
      <c r="I184" s="5">
        <f ca="1">IFERROR(__xludf.DUMMYFUNCTION("""COMPUTED_VALUE"""),3)</f>
        <v>3</v>
      </c>
      <c r="J184" s="5">
        <f ca="1">IFERROR(__xludf.DUMMYFUNCTION("""COMPUTED_VALUE"""),0)</f>
        <v>0</v>
      </c>
      <c r="K184" s="5">
        <f ca="1">IFERROR(__xludf.DUMMYFUNCTION("""COMPUTED_VALUE"""),0)</f>
        <v>0</v>
      </c>
      <c r="L184" s="5">
        <f ca="1">IFERROR(__xludf.DUMMYFUNCTION("""COMPUTED_VALUE"""),0)</f>
        <v>0</v>
      </c>
      <c r="M184">
        <f ca="1">IFERROR(__xludf.DUMMYFUNCTION("""COMPUTED_VALUE"""),8)</f>
        <v>8</v>
      </c>
      <c r="N184" s="8"/>
    </row>
    <row r="185" spans="1:14" ht="12.45" hidden="1">
      <c r="A185" t="str">
        <f ca="1">IFERROR(__xludf.DUMMYFUNCTION("""COMPUTED_VALUE"""),"III-2-084")</f>
        <v>III-2-084</v>
      </c>
      <c r="B185" t="str">
        <f ca="1">IFERROR(__xludf.DUMMYFUNCTION("""COMPUTED_VALUE"""),"Ворошилов")</f>
        <v>Ворошилов</v>
      </c>
      <c r="C185" t="str">
        <f ca="1">IFERROR(__xludf.DUMMYFUNCTION("""COMPUTED_VALUE"""),"Михаил")</f>
        <v>Михаил</v>
      </c>
      <c r="D185" t="str">
        <f ca="1">IFERROR(__xludf.DUMMYFUNCTION("""COMPUTED_VALUE"""),"Гимназия 343")</f>
        <v>Гимназия 343</v>
      </c>
      <c r="E185" s="5">
        <f ca="1">IFERROR(__xludf.DUMMYFUNCTION("""COMPUTED_VALUE"""),2)</f>
        <v>2</v>
      </c>
      <c r="F185" s="5">
        <f ca="1">IFERROR(__xludf.DUMMYFUNCTION("""COMPUTED_VALUE"""),4)</f>
        <v>4</v>
      </c>
      <c r="G185" s="5">
        <f ca="1">IFERROR(__xludf.DUMMYFUNCTION("""COMPUTED_VALUE"""),0)</f>
        <v>0</v>
      </c>
      <c r="H185" s="5">
        <f ca="1">IFERROR(__xludf.DUMMYFUNCTION("""COMPUTED_VALUE"""),0)</f>
        <v>0</v>
      </c>
      <c r="I185" s="5">
        <f ca="1">IFERROR(__xludf.DUMMYFUNCTION("""COMPUTED_VALUE"""),2)</f>
        <v>2</v>
      </c>
      <c r="J185" s="5">
        <f ca="1">IFERROR(__xludf.DUMMYFUNCTION("""COMPUTED_VALUE"""),0)</f>
        <v>0</v>
      </c>
      <c r="K185" s="5">
        <f ca="1">IFERROR(__xludf.DUMMYFUNCTION("""COMPUTED_VALUE"""),0)</f>
        <v>0</v>
      </c>
      <c r="L185" s="5">
        <f ca="1">IFERROR(__xludf.DUMMYFUNCTION("""COMPUTED_VALUE"""),0)</f>
        <v>0</v>
      </c>
      <c r="M185">
        <f ca="1">IFERROR(__xludf.DUMMYFUNCTION("""COMPUTED_VALUE"""),8)</f>
        <v>8</v>
      </c>
      <c r="N185" s="8"/>
    </row>
    <row r="186" spans="1:14" ht="12.45" hidden="1">
      <c r="A186" t="str">
        <f ca="1">IFERROR(__xludf.DUMMYFUNCTION("""COMPUTED_VALUE"""),"III-2-093")</f>
        <v>III-2-093</v>
      </c>
      <c r="B186" t="str">
        <f ca="1">IFERROR(__xludf.DUMMYFUNCTION("""COMPUTED_VALUE"""),"Говорин")</f>
        <v>Говорин</v>
      </c>
      <c r="C186" t="str">
        <f ca="1">IFERROR(__xludf.DUMMYFUNCTION("""COMPUTED_VALUE"""),"Глеб")</f>
        <v>Глеб</v>
      </c>
      <c r="D186" t="str">
        <f ca="1">IFERROR(__xludf.DUMMYFUNCTION("""COMPUTED_VALUE"""),"Школа 18")</f>
        <v>Школа 18</v>
      </c>
      <c r="E186" s="5">
        <f ca="1">IFERROR(__xludf.DUMMYFUNCTION("""COMPUTED_VALUE"""),3)</f>
        <v>3</v>
      </c>
      <c r="F186" s="5">
        <f ca="1">IFERROR(__xludf.DUMMYFUNCTION("""COMPUTED_VALUE"""),0)</f>
        <v>0</v>
      </c>
      <c r="G186" s="5">
        <f ca="1">IFERROR(__xludf.DUMMYFUNCTION("""COMPUTED_VALUE"""),4)</f>
        <v>4</v>
      </c>
      <c r="H186" s="5">
        <f ca="1">IFERROR(__xludf.DUMMYFUNCTION("""COMPUTED_VALUE"""),0)</f>
        <v>0</v>
      </c>
      <c r="I186" s="5">
        <f ca="1">IFERROR(__xludf.DUMMYFUNCTION("""COMPUTED_VALUE"""),1)</f>
        <v>1</v>
      </c>
      <c r="J186" s="5">
        <f ca="1">IFERROR(__xludf.DUMMYFUNCTION("""COMPUTED_VALUE"""),0)</f>
        <v>0</v>
      </c>
      <c r="K186" s="5">
        <f ca="1">IFERROR(__xludf.DUMMYFUNCTION("""COMPUTED_VALUE"""),0)</f>
        <v>0</v>
      </c>
      <c r="L186" s="5">
        <f ca="1">IFERROR(__xludf.DUMMYFUNCTION("""COMPUTED_VALUE"""),0)</f>
        <v>0</v>
      </c>
      <c r="M186">
        <f ca="1">IFERROR(__xludf.DUMMYFUNCTION("""COMPUTED_VALUE"""),8)</f>
        <v>8</v>
      </c>
      <c r="N186" s="8"/>
    </row>
    <row r="187" spans="1:14" ht="12.45" hidden="1">
      <c r="A187" t="str">
        <f ca="1">IFERROR(__xludf.DUMMYFUNCTION("""COMPUTED_VALUE"""),"III-2-196")</f>
        <v>III-2-196</v>
      </c>
      <c r="B187" t="str">
        <f ca="1">IFERROR(__xludf.DUMMYFUNCTION("""COMPUTED_VALUE"""),"Касьянков")</f>
        <v>Касьянков</v>
      </c>
      <c r="C187" t="str">
        <f ca="1">IFERROR(__xludf.DUMMYFUNCTION("""COMPUTED_VALUE"""),"Василий")</f>
        <v>Василий</v>
      </c>
      <c r="D187" t="str">
        <f ca="1">IFERROR(__xludf.DUMMYFUNCTION("""COMPUTED_VALUE"""),"Школа 222")</f>
        <v>Школа 222</v>
      </c>
      <c r="E187" s="5">
        <f ca="1">IFERROR(__xludf.DUMMYFUNCTION("""COMPUTED_VALUE"""),3)</f>
        <v>3</v>
      </c>
      <c r="F187" s="5">
        <f ca="1">IFERROR(__xludf.DUMMYFUNCTION("""COMPUTED_VALUE"""),0)</f>
        <v>0</v>
      </c>
      <c r="G187" s="5">
        <f ca="1">IFERROR(__xludf.DUMMYFUNCTION("""COMPUTED_VALUE"""),4)</f>
        <v>4</v>
      </c>
      <c r="H187" s="5">
        <f ca="1">IFERROR(__xludf.DUMMYFUNCTION("""COMPUTED_VALUE"""),0)</f>
        <v>0</v>
      </c>
      <c r="I187" s="5">
        <f ca="1">IFERROR(__xludf.DUMMYFUNCTION("""COMPUTED_VALUE"""),1)</f>
        <v>1</v>
      </c>
      <c r="J187" s="5">
        <f ca="1">IFERROR(__xludf.DUMMYFUNCTION("""COMPUTED_VALUE"""),0)</f>
        <v>0</v>
      </c>
      <c r="K187" s="5">
        <f ca="1">IFERROR(__xludf.DUMMYFUNCTION("""COMPUTED_VALUE"""),0)</f>
        <v>0</v>
      </c>
      <c r="L187" s="5">
        <f ca="1">IFERROR(__xludf.DUMMYFUNCTION("""COMPUTED_VALUE"""),0)</f>
        <v>0</v>
      </c>
      <c r="M187">
        <f ca="1">IFERROR(__xludf.DUMMYFUNCTION("""COMPUTED_VALUE"""),8)</f>
        <v>8</v>
      </c>
      <c r="N187" s="8"/>
    </row>
    <row r="188" spans="1:14" ht="12.45" hidden="1">
      <c r="A188" t="str">
        <f ca="1">IFERROR(__xludf.DUMMYFUNCTION("""COMPUTED_VALUE"""),"V-2-344")</f>
        <v>V-2-344</v>
      </c>
      <c r="B188" t="str">
        <f ca="1">IFERROR(__xludf.DUMMYFUNCTION("""COMPUTED_VALUE"""),"Попков")</f>
        <v>Попков</v>
      </c>
      <c r="C188" t="str">
        <f ca="1">IFERROR(__xludf.DUMMYFUNCTION("""COMPUTED_VALUE"""),"Михаил")</f>
        <v>Михаил</v>
      </c>
      <c r="D188" t="str">
        <f ca="1">IFERROR(__xludf.DUMMYFUNCTION("""COMPUTED_VALUE"""),"Гимназия 2")</f>
        <v>Гимназия 2</v>
      </c>
      <c r="E188" s="5">
        <f ca="1">IFERROR(__xludf.DUMMYFUNCTION("""COMPUTED_VALUE"""),3)</f>
        <v>3</v>
      </c>
      <c r="F188" s="5">
        <f ca="1">IFERROR(__xludf.DUMMYFUNCTION("""COMPUTED_VALUE"""),0)</f>
        <v>0</v>
      </c>
      <c r="G188" s="5">
        <f ca="1">IFERROR(__xludf.DUMMYFUNCTION("""COMPUTED_VALUE"""),4)</f>
        <v>4</v>
      </c>
      <c r="H188" s="5">
        <f ca="1">IFERROR(__xludf.DUMMYFUNCTION("""COMPUTED_VALUE"""),0)</f>
        <v>0</v>
      </c>
      <c r="I188" s="5">
        <f ca="1">IFERROR(__xludf.DUMMYFUNCTION("""COMPUTED_VALUE"""),1)</f>
        <v>1</v>
      </c>
      <c r="J188" s="5">
        <f ca="1">IFERROR(__xludf.DUMMYFUNCTION("""COMPUTED_VALUE"""),0)</f>
        <v>0</v>
      </c>
      <c r="K188" s="5">
        <f ca="1">IFERROR(__xludf.DUMMYFUNCTION("""COMPUTED_VALUE"""),0)</f>
        <v>0</v>
      </c>
      <c r="L188" s="5">
        <f ca="1">IFERROR(__xludf.DUMMYFUNCTION("""COMPUTED_VALUE"""),0)</f>
        <v>0</v>
      </c>
      <c r="M188">
        <f ca="1">IFERROR(__xludf.DUMMYFUNCTION("""COMPUTED_VALUE"""),8)</f>
        <v>8</v>
      </c>
      <c r="N188" s="8"/>
    </row>
    <row r="189" spans="1:14" ht="12.45" hidden="1">
      <c r="A189" t="str">
        <f ca="1">IFERROR(__xludf.DUMMYFUNCTION("""COMPUTED_VALUE"""),"III-2-128")</f>
        <v>III-2-128</v>
      </c>
      <c r="B189" t="str">
        <f ca="1">IFERROR(__xludf.DUMMYFUNCTION("""COMPUTED_VALUE"""),"Дегтярёв")</f>
        <v>Дегтярёв</v>
      </c>
      <c r="C189" t="str">
        <f ca="1">IFERROR(__xludf.DUMMYFUNCTION("""COMPUTED_VALUE"""),"Игорь")</f>
        <v>Игорь</v>
      </c>
      <c r="D189" t="str">
        <f ca="1">IFERROR(__xludf.DUMMYFUNCTION("""COMPUTED_VALUE"""),"Школа 440")</f>
        <v>Школа 440</v>
      </c>
      <c r="E189" s="5">
        <f ca="1">IFERROR(__xludf.DUMMYFUNCTION("""COMPUTED_VALUE"""),3)</f>
        <v>3</v>
      </c>
      <c r="F189" s="5">
        <f ca="1">IFERROR(__xludf.DUMMYFUNCTION("""COMPUTED_VALUE"""),4)</f>
        <v>4</v>
      </c>
      <c r="G189" s="5">
        <f ca="1">IFERROR(__xludf.DUMMYFUNCTION("""COMPUTED_VALUE"""),0)</f>
        <v>0</v>
      </c>
      <c r="H189" s="5">
        <f ca="1">IFERROR(__xludf.DUMMYFUNCTION("""COMPUTED_VALUE"""),0)</f>
        <v>0</v>
      </c>
      <c r="I189" s="5">
        <f ca="1">IFERROR(__xludf.DUMMYFUNCTION("""COMPUTED_VALUE"""),1)</f>
        <v>1</v>
      </c>
      <c r="J189" s="5">
        <f ca="1">IFERROR(__xludf.DUMMYFUNCTION("""COMPUTED_VALUE"""),0)</f>
        <v>0</v>
      </c>
      <c r="K189" s="5">
        <f ca="1">IFERROR(__xludf.DUMMYFUNCTION("""COMPUTED_VALUE"""),0)</f>
        <v>0</v>
      </c>
      <c r="L189" s="5">
        <f ca="1">IFERROR(__xludf.DUMMYFUNCTION("""COMPUTED_VALUE"""),0)</f>
        <v>0</v>
      </c>
      <c r="M189">
        <f ca="1">IFERROR(__xludf.DUMMYFUNCTION("""COMPUTED_VALUE"""),8)</f>
        <v>8</v>
      </c>
      <c r="N189" s="8"/>
    </row>
    <row r="190" spans="1:14" ht="12.45" hidden="1">
      <c r="A190" t="str">
        <f ca="1">IFERROR(__xludf.DUMMYFUNCTION("""COMPUTED_VALUE"""),"V-2-369")</f>
        <v>V-2-369</v>
      </c>
      <c r="B190" t="str">
        <f ca="1">IFERROR(__xludf.DUMMYFUNCTION("""COMPUTED_VALUE"""),"Садкин")</f>
        <v>Садкин</v>
      </c>
      <c r="C190" t="str">
        <f ca="1">IFERROR(__xludf.DUMMYFUNCTION("""COMPUTED_VALUE"""),"Даниил")</f>
        <v>Даниил</v>
      </c>
      <c r="D190" t="str">
        <f ca="1">IFERROR(__xludf.DUMMYFUNCTION("""COMPUTED_VALUE"""),"Лицей 369")</f>
        <v>Лицей 369</v>
      </c>
      <c r="E190" s="5">
        <f ca="1">IFERROR(__xludf.DUMMYFUNCTION("""COMPUTED_VALUE"""),0)</f>
        <v>0</v>
      </c>
      <c r="F190" s="5">
        <f ca="1">IFERROR(__xludf.DUMMYFUNCTION("""COMPUTED_VALUE"""),4)</f>
        <v>4</v>
      </c>
      <c r="G190" s="5">
        <f ca="1">IFERROR(__xludf.DUMMYFUNCTION("""COMPUTED_VALUE"""),4)</f>
        <v>4</v>
      </c>
      <c r="H190" s="5">
        <f ca="1">IFERROR(__xludf.DUMMYFUNCTION("""COMPUTED_VALUE"""),0)</f>
        <v>0</v>
      </c>
      <c r="I190" s="5">
        <f ca="1">IFERROR(__xludf.DUMMYFUNCTION("""COMPUTED_VALUE"""),0)</f>
        <v>0</v>
      </c>
      <c r="J190" s="5">
        <f ca="1">IFERROR(__xludf.DUMMYFUNCTION("""COMPUTED_VALUE"""),0)</f>
        <v>0</v>
      </c>
      <c r="K190" s="5">
        <f ca="1">IFERROR(__xludf.DUMMYFUNCTION("""COMPUTED_VALUE"""),0)</f>
        <v>0</v>
      </c>
      <c r="L190" s="5">
        <f ca="1">IFERROR(__xludf.DUMMYFUNCTION("""COMPUTED_VALUE"""),0)</f>
        <v>0</v>
      </c>
      <c r="M190">
        <f ca="1">IFERROR(__xludf.DUMMYFUNCTION("""COMPUTED_VALUE"""),8)</f>
        <v>8</v>
      </c>
      <c r="N190" s="8"/>
    </row>
    <row r="191" spans="1:14" ht="12.45" hidden="1">
      <c r="A191" t="str">
        <f ca="1">IFERROR(__xludf.DUMMYFUNCTION("""COMPUTED_VALUE"""),"III-2-178")</f>
        <v>III-2-178</v>
      </c>
      <c r="B191" t="str">
        <f ca="1">IFERROR(__xludf.DUMMYFUNCTION("""COMPUTED_VALUE"""),"Иванова")</f>
        <v>Иванова</v>
      </c>
      <c r="C191" t="str">
        <f ca="1">IFERROR(__xludf.DUMMYFUNCTION("""COMPUTED_VALUE"""),"Ульяна")</f>
        <v>Ульяна</v>
      </c>
      <c r="D191" t="str">
        <f ca="1">IFERROR(__xludf.DUMMYFUNCTION("""COMPUTED_VALUE"""),"Гимназия 32")</f>
        <v>Гимназия 32</v>
      </c>
      <c r="E191" s="5">
        <f ca="1">IFERROR(__xludf.DUMMYFUNCTION("""COMPUTED_VALUE"""),0)</f>
        <v>0</v>
      </c>
      <c r="F191" s="5">
        <f ca="1">IFERROR(__xludf.DUMMYFUNCTION("""COMPUTED_VALUE"""),4)</f>
        <v>4</v>
      </c>
      <c r="G191" s="5">
        <f ca="1">IFERROR(__xludf.DUMMYFUNCTION("""COMPUTED_VALUE"""),4)</f>
        <v>4</v>
      </c>
      <c r="H191" s="5">
        <f ca="1">IFERROR(__xludf.DUMMYFUNCTION("""COMPUTED_VALUE"""),0)</f>
        <v>0</v>
      </c>
      <c r="I191" s="5">
        <f ca="1">IFERROR(__xludf.DUMMYFUNCTION("""COMPUTED_VALUE"""),0)</f>
        <v>0</v>
      </c>
      <c r="J191" s="5">
        <f ca="1">IFERROR(__xludf.DUMMYFUNCTION("""COMPUTED_VALUE"""),0)</f>
        <v>0</v>
      </c>
      <c r="K191" s="5">
        <f ca="1">IFERROR(__xludf.DUMMYFUNCTION("""COMPUTED_VALUE"""),0)</f>
        <v>0</v>
      </c>
      <c r="L191" s="5">
        <f ca="1">IFERROR(__xludf.DUMMYFUNCTION("""COMPUTED_VALUE"""),0)</f>
        <v>0</v>
      </c>
      <c r="M191">
        <f ca="1">IFERROR(__xludf.DUMMYFUNCTION("""COMPUTED_VALUE"""),8)</f>
        <v>8</v>
      </c>
      <c r="N191" s="8"/>
    </row>
    <row r="192" spans="1:14" ht="12.45" hidden="1">
      <c r="A192" t="str">
        <f ca="1">IFERROR(__xludf.DUMMYFUNCTION("""COMPUTED_VALUE"""),"V-2-454")</f>
        <v>V-2-454</v>
      </c>
      <c r="B192" t="str">
        <f ca="1">IFERROR(__xludf.DUMMYFUNCTION("""COMPUTED_VALUE"""),"Цветухина")</f>
        <v>Цветухина</v>
      </c>
      <c r="C192" t="str">
        <f ca="1">IFERROR(__xludf.DUMMYFUNCTION("""COMPUTED_VALUE"""),"Анастасия")</f>
        <v>Анастасия</v>
      </c>
      <c r="D192" t="str">
        <f ca="1">IFERROR(__xludf.DUMMYFUNCTION("""COMPUTED_VALUE"""),"Лицей 369")</f>
        <v>Лицей 369</v>
      </c>
      <c r="E192" s="5">
        <f ca="1">IFERROR(__xludf.DUMMYFUNCTION("""COMPUTED_VALUE"""),3)</f>
        <v>3</v>
      </c>
      <c r="F192" s="5">
        <f ca="1">IFERROR(__xludf.DUMMYFUNCTION("""COMPUTED_VALUE"""),1)</f>
        <v>1</v>
      </c>
      <c r="G192" s="5">
        <f ca="1">IFERROR(__xludf.DUMMYFUNCTION("""COMPUTED_VALUE"""),4)</f>
        <v>4</v>
      </c>
      <c r="H192" s="5">
        <f ca="1">IFERROR(__xludf.DUMMYFUNCTION("""COMPUTED_VALUE"""),0)</f>
        <v>0</v>
      </c>
      <c r="I192" s="5">
        <f ca="1">IFERROR(__xludf.DUMMYFUNCTION("""COMPUTED_VALUE"""),0)</f>
        <v>0</v>
      </c>
      <c r="J192" s="5">
        <f ca="1">IFERROR(__xludf.DUMMYFUNCTION("""COMPUTED_VALUE"""),0)</f>
        <v>0</v>
      </c>
      <c r="K192" s="5">
        <f ca="1">IFERROR(__xludf.DUMMYFUNCTION("""COMPUTED_VALUE"""),0)</f>
        <v>0</v>
      </c>
      <c r="L192" s="5">
        <f ca="1">IFERROR(__xludf.DUMMYFUNCTION("""COMPUTED_VALUE"""),0)</f>
        <v>0</v>
      </c>
      <c r="M192">
        <f ca="1">IFERROR(__xludf.DUMMYFUNCTION("""COMPUTED_VALUE"""),8)</f>
        <v>8</v>
      </c>
      <c r="N192" s="8"/>
    </row>
    <row r="193" spans="1:14" ht="12.45" hidden="1">
      <c r="A193" t="str">
        <f ca="1">IFERROR(__xludf.DUMMYFUNCTION("""COMPUTED_VALUE"""),"V-2-267")</f>
        <v>V-2-267</v>
      </c>
      <c r="B193" t="str">
        <f ca="1">IFERROR(__xludf.DUMMYFUNCTION("""COMPUTED_VALUE"""),"Максимова")</f>
        <v>Максимова</v>
      </c>
      <c r="C193" t="str">
        <f ca="1">IFERROR(__xludf.DUMMYFUNCTION("""COMPUTED_VALUE"""),"Татьяна")</f>
        <v>Татьяна</v>
      </c>
      <c r="D193" t="str">
        <f ca="1">IFERROR(__xludf.DUMMYFUNCTION("""COMPUTED_VALUE"""),"Школа 497")</f>
        <v>Школа 497</v>
      </c>
      <c r="E193" s="5">
        <f ca="1">IFERROR(__xludf.DUMMYFUNCTION("""COMPUTED_VALUE"""),3)</f>
        <v>3</v>
      </c>
      <c r="F193" s="5">
        <f ca="1">IFERROR(__xludf.DUMMYFUNCTION("""COMPUTED_VALUE"""),1)</f>
        <v>1</v>
      </c>
      <c r="G193" s="5">
        <f ca="1">IFERROR(__xludf.DUMMYFUNCTION("""COMPUTED_VALUE"""),4)</f>
        <v>4</v>
      </c>
      <c r="H193" s="5">
        <f ca="1">IFERROR(__xludf.DUMMYFUNCTION("""COMPUTED_VALUE"""),0)</f>
        <v>0</v>
      </c>
      <c r="I193" s="5">
        <f ca="1">IFERROR(__xludf.DUMMYFUNCTION("""COMPUTED_VALUE"""),0)</f>
        <v>0</v>
      </c>
      <c r="J193" s="5">
        <f ca="1">IFERROR(__xludf.DUMMYFUNCTION("""COMPUTED_VALUE"""),0)</f>
        <v>0</v>
      </c>
      <c r="K193" s="5">
        <f ca="1">IFERROR(__xludf.DUMMYFUNCTION("""COMPUTED_VALUE"""),0)</f>
        <v>0</v>
      </c>
      <c r="L193" s="5">
        <f ca="1">IFERROR(__xludf.DUMMYFUNCTION("""COMPUTED_VALUE"""),0)</f>
        <v>0</v>
      </c>
      <c r="M193">
        <f ca="1">IFERROR(__xludf.DUMMYFUNCTION("""COMPUTED_VALUE"""),8)</f>
        <v>8</v>
      </c>
      <c r="N193" s="8"/>
    </row>
    <row r="194" spans="1:14" ht="12.45" hidden="1">
      <c r="A194" t="str">
        <f ca="1">IFERROR(__xludf.DUMMYFUNCTION("""COMPUTED_VALUE"""),"V-2-326")</f>
        <v>V-2-326</v>
      </c>
      <c r="B194" t="str">
        <f ca="1">IFERROR(__xludf.DUMMYFUNCTION("""COMPUTED_VALUE"""),"Осипова")</f>
        <v>Осипова</v>
      </c>
      <c r="C194" t="str">
        <f ca="1">IFERROR(__xludf.DUMMYFUNCTION("""COMPUTED_VALUE"""),"Виктория")</f>
        <v>Виктория</v>
      </c>
      <c r="D194" t="str">
        <f ca="1">IFERROR(__xludf.DUMMYFUNCTION("""COMPUTED_VALUE"""),"Лицей 179")</f>
        <v>Лицей 179</v>
      </c>
      <c r="E194" s="5">
        <f ca="1">IFERROR(__xludf.DUMMYFUNCTION("""COMPUTED_VALUE"""),3)</f>
        <v>3</v>
      </c>
      <c r="F194" s="5">
        <f ca="1">IFERROR(__xludf.DUMMYFUNCTION("""COMPUTED_VALUE"""),1)</f>
        <v>1</v>
      </c>
      <c r="G194" s="5">
        <f ca="1">IFERROR(__xludf.DUMMYFUNCTION("""COMPUTED_VALUE"""),0)</f>
        <v>0</v>
      </c>
      <c r="H194" s="5">
        <f ca="1">IFERROR(__xludf.DUMMYFUNCTION("""COMPUTED_VALUE"""),0)</f>
        <v>0</v>
      </c>
      <c r="I194" s="5">
        <f ca="1">IFERROR(__xludf.DUMMYFUNCTION("""COMPUTED_VALUE"""),2)</f>
        <v>2</v>
      </c>
      <c r="J194" s="5">
        <f ca="1">IFERROR(__xludf.DUMMYFUNCTION("""COMPUTED_VALUE"""),0)</f>
        <v>0</v>
      </c>
      <c r="K194" s="5">
        <f ca="1">IFERROR(__xludf.DUMMYFUNCTION("""COMPUTED_VALUE"""),1)</f>
        <v>1</v>
      </c>
      <c r="L194" s="5">
        <f ca="1">IFERROR(__xludf.DUMMYFUNCTION("""COMPUTED_VALUE"""),0)</f>
        <v>0</v>
      </c>
      <c r="M194">
        <f ca="1">IFERROR(__xludf.DUMMYFUNCTION("""COMPUTED_VALUE"""),7)</f>
        <v>7</v>
      </c>
      <c r="N194" s="8"/>
    </row>
    <row r="195" spans="1:14" ht="12.45" hidden="1">
      <c r="A195" t="str">
        <f ca="1">IFERROR(__xludf.DUMMYFUNCTION("""COMPUTED_VALUE"""),"V-2-244")</f>
        <v>V-2-244</v>
      </c>
      <c r="B195" t="str">
        <f ca="1">IFERROR(__xludf.DUMMYFUNCTION("""COMPUTED_VALUE"""),"Лазарева")</f>
        <v>Лазарева</v>
      </c>
      <c r="C195" t="str">
        <f ca="1">IFERROR(__xludf.DUMMYFUNCTION("""COMPUTED_VALUE"""),"Дарья")</f>
        <v>Дарья</v>
      </c>
      <c r="D195" t="str">
        <f ca="1">IFERROR(__xludf.DUMMYFUNCTION("""COMPUTED_VALUE"""),"Лицей 590")</f>
        <v>Лицей 590</v>
      </c>
      <c r="E195" s="5">
        <f ca="1">IFERROR(__xludf.DUMMYFUNCTION("""COMPUTED_VALUE"""),3)</f>
        <v>3</v>
      </c>
      <c r="F195" s="5">
        <f ca="1">IFERROR(__xludf.DUMMYFUNCTION("""COMPUTED_VALUE"""),1)</f>
        <v>1</v>
      </c>
      <c r="G195" s="5">
        <f ca="1">IFERROR(__xludf.DUMMYFUNCTION("""COMPUTED_VALUE"""),0)</f>
        <v>0</v>
      </c>
      <c r="H195" s="5">
        <f ca="1">IFERROR(__xludf.DUMMYFUNCTION("""COMPUTED_VALUE"""),0)</f>
        <v>0</v>
      </c>
      <c r="I195" s="5">
        <f ca="1">IFERROR(__xludf.DUMMYFUNCTION("""COMPUTED_VALUE"""),0)</f>
        <v>0</v>
      </c>
      <c r="J195" s="5">
        <f ca="1">IFERROR(__xludf.DUMMYFUNCTION("""COMPUTED_VALUE"""),3)</f>
        <v>3</v>
      </c>
      <c r="K195" s="5">
        <f ca="1">IFERROR(__xludf.DUMMYFUNCTION("""COMPUTED_VALUE"""),0)</f>
        <v>0</v>
      </c>
      <c r="L195" s="5">
        <f ca="1">IFERROR(__xludf.DUMMYFUNCTION("""COMPUTED_VALUE"""),0)</f>
        <v>0</v>
      </c>
      <c r="M195">
        <f ca="1">IFERROR(__xludf.DUMMYFUNCTION("""COMPUTED_VALUE"""),7)</f>
        <v>7</v>
      </c>
      <c r="N195" s="8"/>
    </row>
    <row r="196" spans="1:14" ht="12.45" hidden="1">
      <c r="A196" t="str">
        <f ca="1">IFERROR(__xludf.DUMMYFUNCTION("""COMPUTED_VALUE"""),"III-2-017")</f>
        <v>III-2-017</v>
      </c>
      <c r="B196" t="str">
        <f ca="1">IFERROR(__xludf.DUMMYFUNCTION("""COMPUTED_VALUE"""),"Андреева")</f>
        <v>Андреева</v>
      </c>
      <c r="C196" t="str">
        <f ca="1">IFERROR(__xludf.DUMMYFUNCTION("""COMPUTED_VALUE"""),"София")</f>
        <v>София</v>
      </c>
      <c r="D196" t="str">
        <f ca="1">IFERROR(__xludf.DUMMYFUNCTION("""COMPUTED_VALUE"""),"Школа 145")</f>
        <v>Школа 145</v>
      </c>
      <c r="E196" s="5">
        <f ca="1">IFERROR(__xludf.DUMMYFUNCTION("""COMPUTED_VALUE"""),1)</f>
        <v>1</v>
      </c>
      <c r="F196" s="5">
        <f ca="1">IFERROR(__xludf.DUMMYFUNCTION("""COMPUTED_VALUE"""),0)</f>
        <v>0</v>
      </c>
      <c r="G196" s="5">
        <f ca="1">IFERROR(__xludf.DUMMYFUNCTION("""COMPUTED_VALUE"""),4)</f>
        <v>4</v>
      </c>
      <c r="H196" s="5">
        <f ca="1">IFERROR(__xludf.DUMMYFUNCTION("""COMPUTED_VALUE"""),0)</f>
        <v>0</v>
      </c>
      <c r="I196" s="5">
        <f ca="1">IFERROR(__xludf.DUMMYFUNCTION("""COMPUTED_VALUE"""),0)</f>
        <v>0</v>
      </c>
      <c r="J196" s="5">
        <f ca="1">IFERROR(__xludf.DUMMYFUNCTION("""COMPUTED_VALUE"""),2)</f>
        <v>2</v>
      </c>
      <c r="K196" s="5">
        <f ca="1">IFERROR(__xludf.DUMMYFUNCTION("""COMPUTED_VALUE"""),0)</f>
        <v>0</v>
      </c>
      <c r="L196" s="5">
        <f ca="1">IFERROR(__xludf.DUMMYFUNCTION("""COMPUTED_VALUE"""),0)</f>
        <v>0</v>
      </c>
      <c r="M196">
        <f ca="1">IFERROR(__xludf.DUMMYFUNCTION("""COMPUTED_VALUE"""),7)</f>
        <v>7</v>
      </c>
      <c r="N196" s="8"/>
    </row>
    <row r="197" spans="1:14" ht="12.45" hidden="1">
      <c r="A197" t="str">
        <f ca="1">IFERROR(__xludf.DUMMYFUNCTION("""COMPUTED_VALUE"""),"III-2-222")</f>
        <v>III-2-222</v>
      </c>
      <c r="B197" t="str">
        <f ca="1">IFERROR(__xludf.DUMMYFUNCTION("""COMPUTED_VALUE"""),"Коротин")</f>
        <v>Коротин</v>
      </c>
      <c r="C197" t="str">
        <f ca="1">IFERROR(__xludf.DUMMYFUNCTION("""COMPUTED_VALUE"""),"Георгий")</f>
        <v>Георгий</v>
      </c>
      <c r="D197" t="str">
        <f ca="1">IFERROR(__xludf.DUMMYFUNCTION("""COMPUTED_VALUE"""),"Школа 641")</f>
        <v>Школа 641</v>
      </c>
      <c r="E197" s="5">
        <f ca="1">IFERROR(__xludf.DUMMYFUNCTION("""COMPUTED_VALUE"""),3)</f>
        <v>3</v>
      </c>
      <c r="F197" s="5">
        <f ca="1">IFERROR(__xludf.DUMMYFUNCTION("""COMPUTED_VALUE"""),0)</f>
        <v>0</v>
      </c>
      <c r="G197" s="5">
        <f ca="1">IFERROR(__xludf.DUMMYFUNCTION("""COMPUTED_VALUE"""),0)</f>
        <v>0</v>
      </c>
      <c r="H197" s="5">
        <f ca="1">IFERROR(__xludf.DUMMYFUNCTION("""COMPUTED_VALUE"""),3)</f>
        <v>3</v>
      </c>
      <c r="I197" s="5">
        <f ca="1">IFERROR(__xludf.DUMMYFUNCTION("""COMPUTED_VALUE"""),1)</f>
        <v>1</v>
      </c>
      <c r="J197" s="5">
        <f ca="1">IFERROR(__xludf.DUMMYFUNCTION("""COMPUTED_VALUE"""),0)</f>
        <v>0</v>
      </c>
      <c r="K197" s="5">
        <f ca="1">IFERROR(__xludf.DUMMYFUNCTION("""COMPUTED_VALUE"""),0)</f>
        <v>0</v>
      </c>
      <c r="L197" s="5">
        <f ca="1">IFERROR(__xludf.DUMMYFUNCTION("""COMPUTED_VALUE"""),0)</f>
        <v>0</v>
      </c>
      <c r="M197">
        <f ca="1">IFERROR(__xludf.DUMMYFUNCTION("""COMPUTED_VALUE"""),7)</f>
        <v>7</v>
      </c>
      <c r="N197" s="8"/>
    </row>
    <row r="198" spans="1:14" ht="12.45" hidden="1">
      <c r="A198" t="str">
        <f ca="1">IFERROR(__xludf.DUMMYFUNCTION("""COMPUTED_VALUE"""),"V-2-307")</f>
        <v>V-2-307</v>
      </c>
      <c r="B198" t="str">
        <f ca="1">IFERROR(__xludf.DUMMYFUNCTION("""COMPUTED_VALUE"""),"Небукина")</f>
        <v>Небукина</v>
      </c>
      <c r="C198" t="str">
        <f ca="1">IFERROR(__xludf.DUMMYFUNCTION("""COMPUTED_VALUE"""),"Варвара")</f>
        <v>Варвара</v>
      </c>
      <c r="D198" t="str">
        <f ca="1">IFERROR(__xludf.DUMMYFUNCTION("""COMPUTED_VALUE"""),"Школа 641")</f>
        <v>Школа 641</v>
      </c>
      <c r="E198" s="5">
        <f ca="1">IFERROR(__xludf.DUMMYFUNCTION("""COMPUTED_VALUE"""),3)</f>
        <v>3</v>
      </c>
      <c r="F198" s="5">
        <f ca="1">IFERROR(__xludf.DUMMYFUNCTION("""COMPUTED_VALUE"""),0)</f>
        <v>0</v>
      </c>
      <c r="G198" s="5">
        <f ca="1">IFERROR(__xludf.DUMMYFUNCTION("""COMPUTED_VALUE"""),0)</f>
        <v>0</v>
      </c>
      <c r="H198" s="5">
        <f ca="1">IFERROR(__xludf.DUMMYFUNCTION("""COMPUTED_VALUE"""),3)</f>
        <v>3</v>
      </c>
      <c r="I198" s="5">
        <f ca="1">IFERROR(__xludf.DUMMYFUNCTION("""COMPUTED_VALUE"""),1)</f>
        <v>1</v>
      </c>
      <c r="J198" s="5">
        <f ca="1">IFERROR(__xludf.DUMMYFUNCTION("""COMPUTED_VALUE"""),0)</f>
        <v>0</v>
      </c>
      <c r="K198" s="5">
        <f ca="1">IFERROR(__xludf.DUMMYFUNCTION("""COMPUTED_VALUE"""),0)</f>
        <v>0</v>
      </c>
      <c r="L198" s="5">
        <f ca="1">IFERROR(__xludf.DUMMYFUNCTION("""COMPUTED_VALUE"""),0)</f>
        <v>0</v>
      </c>
      <c r="M198">
        <f ca="1">IFERROR(__xludf.DUMMYFUNCTION("""COMPUTED_VALUE"""),7)</f>
        <v>7</v>
      </c>
      <c r="N198" s="8"/>
    </row>
    <row r="199" spans="1:14" ht="12.45" hidden="1">
      <c r="A199" t="str">
        <f ca="1">IFERROR(__xludf.DUMMYFUNCTION("""COMPUTED_VALUE"""),"V-2-247")</f>
        <v>V-2-247</v>
      </c>
      <c r="B199" t="str">
        <f ca="1">IFERROR(__xludf.DUMMYFUNCTION("""COMPUTED_VALUE"""),"Ларионова")</f>
        <v>Ларионова</v>
      </c>
      <c r="C199" t="str">
        <f ca="1">IFERROR(__xludf.DUMMYFUNCTION("""COMPUTED_VALUE"""),"Наталья")</f>
        <v>Наталья</v>
      </c>
      <c r="D199" t="str">
        <f ca="1">IFERROR(__xludf.DUMMYFUNCTION("""COMPUTED_VALUE"""),"Гимназия 628")</f>
        <v>Гимназия 628</v>
      </c>
      <c r="E199" s="5">
        <f ca="1">IFERROR(__xludf.DUMMYFUNCTION("""COMPUTED_VALUE"""),3)</f>
        <v>3</v>
      </c>
      <c r="F199" s="5">
        <f ca="1">IFERROR(__xludf.DUMMYFUNCTION("""COMPUTED_VALUE"""),0)</f>
        <v>0</v>
      </c>
      <c r="G199" s="5">
        <f ca="1">IFERROR(__xludf.DUMMYFUNCTION("""COMPUTED_VALUE"""),4)</f>
        <v>4</v>
      </c>
      <c r="H199" s="5">
        <f ca="1">IFERROR(__xludf.DUMMYFUNCTION("""COMPUTED_VALUE"""),0)</f>
        <v>0</v>
      </c>
      <c r="I199" s="5">
        <f ca="1">IFERROR(__xludf.DUMMYFUNCTION("""COMPUTED_VALUE"""),0)</f>
        <v>0</v>
      </c>
      <c r="J199" s="5">
        <f ca="1">IFERROR(__xludf.DUMMYFUNCTION("""COMPUTED_VALUE"""),0)</f>
        <v>0</v>
      </c>
      <c r="K199" s="5">
        <f ca="1">IFERROR(__xludf.DUMMYFUNCTION("""COMPUTED_VALUE"""),0)</f>
        <v>0</v>
      </c>
      <c r="L199" s="5">
        <f ca="1">IFERROR(__xludf.DUMMYFUNCTION("""COMPUTED_VALUE"""),0)</f>
        <v>0</v>
      </c>
      <c r="M199">
        <f ca="1">IFERROR(__xludf.DUMMYFUNCTION("""COMPUTED_VALUE"""),7)</f>
        <v>7</v>
      </c>
      <c r="N199" s="8"/>
    </row>
    <row r="200" spans="1:14" ht="12.45" hidden="1">
      <c r="A200" t="str">
        <f ca="1">IFERROR(__xludf.DUMMYFUNCTION("""COMPUTED_VALUE"""),"V-2-351")</f>
        <v>V-2-351</v>
      </c>
      <c r="B200" t="str">
        <f ca="1">IFERROR(__xludf.DUMMYFUNCTION("""COMPUTED_VALUE"""),"Просвирницына")</f>
        <v>Просвирницына</v>
      </c>
      <c r="C200" t="str">
        <f ca="1">IFERROR(__xludf.DUMMYFUNCTION("""COMPUTED_VALUE"""),"Алиса")</f>
        <v>Алиса</v>
      </c>
      <c r="D200" t="str">
        <f ca="1">IFERROR(__xludf.DUMMYFUNCTION("""COMPUTED_VALUE"""),"Школа 580")</f>
        <v>Школа 580</v>
      </c>
      <c r="E200" s="5">
        <f ca="1">IFERROR(__xludf.DUMMYFUNCTION("""COMPUTED_VALUE"""),3)</f>
        <v>3</v>
      </c>
      <c r="F200" s="5">
        <f ca="1">IFERROR(__xludf.DUMMYFUNCTION("""COMPUTED_VALUE"""),0)</f>
        <v>0</v>
      </c>
      <c r="G200" s="5">
        <f ca="1">IFERROR(__xludf.DUMMYFUNCTION("""COMPUTED_VALUE"""),4)</f>
        <v>4</v>
      </c>
      <c r="H200" s="5">
        <f ca="1">IFERROR(__xludf.DUMMYFUNCTION("""COMPUTED_VALUE"""),0)</f>
        <v>0</v>
      </c>
      <c r="I200" s="5">
        <f ca="1">IFERROR(__xludf.DUMMYFUNCTION("""COMPUTED_VALUE"""),0)</f>
        <v>0</v>
      </c>
      <c r="J200" s="5">
        <f ca="1">IFERROR(__xludf.DUMMYFUNCTION("""COMPUTED_VALUE"""),0)</f>
        <v>0</v>
      </c>
      <c r="K200" s="5">
        <f ca="1">IFERROR(__xludf.DUMMYFUNCTION("""COMPUTED_VALUE"""),0)</f>
        <v>0</v>
      </c>
      <c r="L200" s="5">
        <f ca="1">IFERROR(__xludf.DUMMYFUNCTION("""COMPUTED_VALUE"""),0)</f>
        <v>0</v>
      </c>
      <c r="M200">
        <f ca="1">IFERROR(__xludf.DUMMYFUNCTION("""COMPUTED_VALUE"""),7)</f>
        <v>7</v>
      </c>
      <c r="N200" s="8"/>
    </row>
    <row r="201" spans="1:14" ht="12.45" hidden="1">
      <c r="A201" t="str">
        <f ca="1">IFERROR(__xludf.DUMMYFUNCTION("""COMPUTED_VALUE"""),"III-2-072")</f>
        <v>III-2-072</v>
      </c>
      <c r="B201" t="str">
        <f ca="1">IFERROR(__xludf.DUMMYFUNCTION("""COMPUTED_VALUE"""),"Векшина")</f>
        <v>Векшина</v>
      </c>
      <c r="C201" t="str">
        <f ca="1">IFERROR(__xludf.DUMMYFUNCTION("""COMPUTED_VALUE"""),"Ольга")</f>
        <v>Ольга</v>
      </c>
      <c r="D201" t="str">
        <f ca="1">IFERROR(__xludf.DUMMYFUNCTION("""COMPUTED_VALUE"""),"Гимназия 74")</f>
        <v>Гимназия 74</v>
      </c>
      <c r="E201" s="5">
        <f ca="1">IFERROR(__xludf.DUMMYFUNCTION("""COMPUTED_VALUE"""),3)</f>
        <v>3</v>
      </c>
      <c r="F201" s="5">
        <f ca="1">IFERROR(__xludf.DUMMYFUNCTION("""COMPUTED_VALUE"""),0)</f>
        <v>0</v>
      </c>
      <c r="G201" s="5">
        <f ca="1">IFERROR(__xludf.DUMMYFUNCTION("""COMPUTED_VALUE"""),4)</f>
        <v>4</v>
      </c>
      <c r="H201" s="5">
        <f ca="1">IFERROR(__xludf.DUMMYFUNCTION("""COMPUTED_VALUE"""),0)</f>
        <v>0</v>
      </c>
      <c r="I201" s="5">
        <f ca="1">IFERROR(__xludf.DUMMYFUNCTION("""COMPUTED_VALUE"""),0)</f>
        <v>0</v>
      </c>
      <c r="J201" s="5">
        <f ca="1">IFERROR(__xludf.DUMMYFUNCTION("""COMPUTED_VALUE"""),0)</f>
        <v>0</v>
      </c>
      <c r="K201" s="5">
        <f ca="1">IFERROR(__xludf.DUMMYFUNCTION("""COMPUTED_VALUE"""),0)</f>
        <v>0</v>
      </c>
      <c r="L201" s="5">
        <f ca="1">IFERROR(__xludf.DUMMYFUNCTION("""COMPUTED_VALUE"""),0)</f>
        <v>0</v>
      </c>
      <c r="M201">
        <f ca="1">IFERROR(__xludf.DUMMYFUNCTION("""COMPUTED_VALUE"""),7)</f>
        <v>7</v>
      </c>
      <c r="N201" s="8"/>
    </row>
    <row r="202" spans="1:14" ht="12.45" hidden="1">
      <c r="A202" t="str">
        <f ca="1">IFERROR(__xludf.DUMMYFUNCTION("""COMPUTED_VALUE"""),"V-2-246")</f>
        <v>V-2-246</v>
      </c>
      <c r="B202" t="str">
        <f ca="1">IFERROR(__xludf.DUMMYFUNCTION("""COMPUTED_VALUE"""),"Ларина")</f>
        <v>Ларина</v>
      </c>
      <c r="C202" t="str">
        <f ca="1">IFERROR(__xludf.DUMMYFUNCTION("""COMPUTED_VALUE"""),"Таисия")</f>
        <v>Таисия</v>
      </c>
      <c r="D202" t="str">
        <f ca="1">IFERROR(__xludf.DUMMYFUNCTION("""COMPUTED_VALUE"""),"Школа 489")</f>
        <v>Школа 489</v>
      </c>
      <c r="E202" s="5">
        <f ca="1">IFERROR(__xludf.DUMMYFUNCTION("""COMPUTED_VALUE"""),3)</f>
        <v>3</v>
      </c>
      <c r="F202" s="5">
        <f ca="1">IFERROR(__xludf.DUMMYFUNCTION("""COMPUTED_VALUE"""),0)</f>
        <v>0</v>
      </c>
      <c r="G202" s="5">
        <f ca="1">IFERROR(__xludf.DUMMYFUNCTION("""COMPUTED_VALUE"""),4)</f>
        <v>4</v>
      </c>
      <c r="H202" s="5">
        <f ca="1">IFERROR(__xludf.DUMMYFUNCTION("""COMPUTED_VALUE"""),0)</f>
        <v>0</v>
      </c>
      <c r="I202" s="5">
        <f ca="1">IFERROR(__xludf.DUMMYFUNCTION("""COMPUTED_VALUE"""),0)</f>
        <v>0</v>
      </c>
      <c r="J202" s="5">
        <f ca="1">IFERROR(__xludf.DUMMYFUNCTION("""COMPUTED_VALUE"""),0)</f>
        <v>0</v>
      </c>
      <c r="K202" s="5">
        <f ca="1">IFERROR(__xludf.DUMMYFUNCTION("""COMPUTED_VALUE"""),0)</f>
        <v>0</v>
      </c>
      <c r="L202" s="5">
        <f ca="1">IFERROR(__xludf.DUMMYFUNCTION("""COMPUTED_VALUE"""),0)</f>
        <v>0</v>
      </c>
      <c r="M202">
        <f ca="1">IFERROR(__xludf.DUMMYFUNCTION("""COMPUTED_VALUE"""),7)</f>
        <v>7</v>
      </c>
      <c r="N202" s="8"/>
    </row>
    <row r="203" spans="1:14" ht="12.45" hidden="1">
      <c r="A203" t="str">
        <f ca="1">IFERROR(__xludf.DUMMYFUNCTION("""COMPUTED_VALUE"""),"V-2-268")</f>
        <v>V-2-268</v>
      </c>
      <c r="B203" t="str">
        <f ca="1">IFERROR(__xludf.DUMMYFUNCTION("""COMPUTED_VALUE"""),"Максюта")</f>
        <v>Максюта</v>
      </c>
      <c r="C203" t="str">
        <f ca="1">IFERROR(__xludf.DUMMYFUNCTION("""COMPUTED_VALUE"""),"Варвара")</f>
        <v>Варвара</v>
      </c>
      <c r="D203" t="str">
        <f ca="1">IFERROR(__xludf.DUMMYFUNCTION("""COMPUTED_VALUE"""),"Школа праздник+")</f>
        <v>Школа праздник+</v>
      </c>
      <c r="E203" s="5">
        <f ca="1">IFERROR(__xludf.DUMMYFUNCTION("""COMPUTED_VALUE"""),3)</f>
        <v>3</v>
      </c>
      <c r="F203" s="5">
        <f ca="1">IFERROR(__xludf.DUMMYFUNCTION("""COMPUTED_VALUE"""),0)</f>
        <v>0</v>
      </c>
      <c r="G203" s="5">
        <f ca="1">IFERROR(__xludf.DUMMYFUNCTION("""COMPUTED_VALUE"""),4)</f>
        <v>4</v>
      </c>
      <c r="H203" s="5">
        <f ca="1">IFERROR(__xludf.DUMMYFUNCTION("""COMPUTED_VALUE"""),0)</f>
        <v>0</v>
      </c>
      <c r="I203" s="5">
        <f ca="1">IFERROR(__xludf.DUMMYFUNCTION("""COMPUTED_VALUE"""),0)</f>
        <v>0</v>
      </c>
      <c r="J203" s="5">
        <f ca="1">IFERROR(__xludf.DUMMYFUNCTION("""COMPUTED_VALUE"""),0)</f>
        <v>0</v>
      </c>
      <c r="K203" s="5">
        <f ca="1">IFERROR(__xludf.DUMMYFUNCTION("""COMPUTED_VALUE"""),0)</f>
        <v>0</v>
      </c>
      <c r="L203" s="5">
        <f ca="1">IFERROR(__xludf.DUMMYFUNCTION("""COMPUTED_VALUE"""),0)</f>
        <v>0</v>
      </c>
      <c r="M203">
        <f ca="1">IFERROR(__xludf.DUMMYFUNCTION("""COMPUTED_VALUE"""),7)</f>
        <v>7</v>
      </c>
      <c r="N203" s="8"/>
    </row>
    <row r="204" spans="1:14" ht="12.45" hidden="1">
      <c r="A204" t="str">
        <f ca="1">IFERROR(__xludf.DUMMYFUNCTION("""COMPUTED_VALUE"""),"V-2-263")</f>
        <v>V-2-263</v>
      </c>
      <c r="B204" t="str">
        <f ca="1">IFERROR(__xludf.DUMMYFUNCTION("""COMPUTED_VALUE"""),"Лютоев")</f>
        <v>Лютоев</v>
      </c>
      <c r="C204" t="str">
        <f ca="1">IFERROR(__xludf.DUMMYFUNCTION("""COMPUTED_VALUE"""),"Ярослав")</f>
        <v>Ярослав</v>
      </c>
      <c r="D204" t="str">
        <f ca="1">IFERROR(__xludf.DUMMYFUNCTION("""COMPUTED_VALUE"""),"Школа 655")</f>
        <v>Школа 655</v>
      </c>
      <c r="E204" s="5">
        <f ca="1">IFERROR(__xludf.DUMMYFUNCTION("""COMPUTED_VALUE"""),3)</f>
        <v>3</v>
      </c>
      <c r="F204" s="5">
        <f ca="1">IFERROR(__xludf.DUMMYFUNCTION("""COMPUTED_VALUE"""),0)</f>
        <v>0</v>
      </c>
      <c r="G204" s="5">
        <f ca="1">IFERROR(__xludf.DUMMYFUNCTION("""COMPUTED_VALUE"""),4)</f>
        <v>4</v>
      </c>
      <c r="H204" s="5">
        <f ca="1">IFERROR(__xludf.DUMMYFUNCTION("""COMPUTED_VALUE"""),0)</f>
        <v>0</v>
      </c>
      <c r="I204" s="5">
        <f ca="1">IFERROR(__xludf.DUMMYFUNCTION("""COMPUTED_VALUE"""),0)</f>
        <v>0</v>
      </c>
      <c r="J204" s="5">
        <f ca="1">IFERROR(__xludf.DUMMYFUNCTION("""COMPUTED_VALUE"""),0)</f>
        <v>0</v>
      </c>
      <c r="K204" s="5">
        <f ca="1">IFERROR(__xludf.DUMMYFUNCTION("""COMPUTED_VALUE"""),0)</f>
        <v>0</v>
      </c>
      <c r="L204" s="5">
        <f ca="1">IFERROR(__xludf.DUMMYFUNCTION("""COMPUTED_VALUE"""),0)</f>
        <v>0</v>
      </c>
      <c r="M204">
        <f ca="1">IFERROR(__xludf.DUMMYFUNCTION("""COMPUTED_VALUE"""),7)</f>
        <v>7</v>
      </c>
      <c r="N204" s="8"/>
    </row>
    <row r="205" spans="1:14" ht="12.45" hidden="1">
      <c r="A205" t="str">
        <f ca="1">IFERROR(__xludf.DUMMYFUNCTION("""COMPUTED_VALUE"""),"III-2-111")</f>
        <v>III-2-111</v>
      </c>
      <c r="B205" t="str">
        <f ca="1">IFERROR(__xludf.DUMMYFUNCTION("""COMPUTED_VALUE"""),"Грибанова")</f>
        <v>Грибанова</v>
      </c>
      <c r="C205" t="str">
        <f ca="1">IFERROR(__xludf.DUMMYFUNCTION("""COMPUTED_VALUE"""),"Евдокия")</f>
        <v>Евдокия</v>
      </c>
      <c r="D205" t="str">
        <f ca="1">IFERROR(__xludf.DUMMYFUNCTION("""COMPUTED_VALUE"""),"Гимназия 73")</f>
        <v>Гимназия 73</v>
      </c>
      <c r="E205" s="5">
        <f ca="1">IFERROR(__xludf.DUMMYFUNCTION("""COMPUTED_VALUE"""),3)</f>
        <v>3</v>
      </c>
      <c r="F205" s="5">
        <f ca="1">IFERROR(__xludf.DUMMYFUNCTION("""COMPUTED_VALUE"""),0)</f>
        <v>0</v>
      </c>
      <c r="G205" s="5">
        <f ca="1">IFERROR(__xludf.DUMMYFUNCTION("""COMPUTED_VALUE"""),4)</f>
        <v>4</v>
      </c>
      <c r="H205" s="5">
        <f ca="1">IFERROR(__xludf.DUMMYFUNCTION("""COMPUTED_VALUE"""),0)</f>
        <v>0</v>
      </c>
      <c r="I205" s="5">
        <f ca="1">IFERROR(__xludf.DUMMYFUNCTION("""COMPUTED_VALUE"""),0)</f>
        <v>0</v>
      </c>
      <c r="J205" s="5">
        <f ca="1">IFERROR(__xludf.DUMMYFUNCTION("""COMPUTED_VALUE"""),0)</f>
        <v>0</v>
      </c>
      <c r="K205" s="5">
        <f ca="1">IFERROR(__xludf.DUMMYFUNCTION("""COMPUTED_VALUE"""),0)</f>
        <v>0</v>
      </c>
      <c r="L205" s="5">
        <f ca="1">IFERROR(__xludf.DUMMYFUNCTION("""COMPUTED_VALUE"""),0)</f>
        <v>0</v>
      </c>
      <c r="M205">
        <f ca="1">IFERROR(__xludf.DUMMYFUNCTION("""COMPUTED_VALUE"""),7)</f>
        <v>7</v>
      </c>
      <c r="N205" s="8"/>
    </row>
    <row r="206" spans="1:14" ht="12.45" hidden="1">
      <c r="A206" t="str">
        <f ca="1">IFERROR(__xludf.DUMMYFUNCTION("""COMPUTED_VALUE"""),"V-2-259")</f>
        <v>V-2-259</v>
      </c>
      <c r="B206" t="str">
        <f ca="1">IFERROR(__xludf.DUMMYFUNCTION("""COMPUTED_VALUE"""),"Лукина")</f>
        <v>Лукина</v>
      </c>
      <c r="C206" t="str">
        <f ca="1">IFERROR(__xludf.DUMMYFUNCTION("""COMPUTED_VALUE"""),"Ника")</f>
        <v>Ника</v>
      </c>
      <c r="D206" t="str">
        <f ca="1">IFERROR(__xludf.DUMMYFUNCTION("""COMPUTED_VALUE"""),"Школа 106")</f>
        <v>Школа 106</v>
      </c>
      <c r="E206" s="5">
        <f ca="1">IFERROR(__xludf.DUMMYFUNCTION("""COMPUTED_VALUE"""),3)</f>
        <v>3</v>
      </c>
      <c r="F206" s="5">
        <f ca="1">IFERROR(__xludf.DUMMYFUNCTION("""COMPUTED_VALUE"""),0)</f>
        <v>0</v>
      </c>
      <c r="G206" s="5">
        <f ca="1">IFERROR(__xludf.DUMMYFUNCTION("""COMPUTED_VALUE"""),4)</f>
        <v>4</v>
      </c>
      <c r="H206" s="5">
        <f ca="1">IFERROR(__xludf.DUMMYFUNCTION("""COMPUTED_VALUE"""),0)</f>
        <v>0</v>
      </c>
      <c r="I206" s="5">
        <f ca="1">IFERROR(__xludf.DUMMYFUNCTION("""COMPUTED_VALUE"""),0)</f>
        <v>0</v>
      </c>
      <c r="J206" s="5">
        <f ca="1">IFERROR(__xludf.DUMMYFUNCTION("""COMPUTED_VALUE"""),0)</f>
        <v>0</v>
      </c>
      <c r="K206" s="5">
        <f ca="1">IFERROR(__xludf.DUMMYFUNCTION("""COMPUTED_VALUE"""),0)</f>
        <v>0</v>
      </c>
      <c r="L206" s="5">
        <f ca="1">IFERROR(__xludf.DUMMYFUNCTION("""COMPUTED_VALUE"""),0)</f>
        <v>0</v>
      </c>
      <c r="M206">
        <f ca="1">IFERROR(__xludf.DUMMYFUNCTION("""COMPUTED_VALUE"""),7)</f>
        <v>7</v>
      </c>
      <c r="N206" s="8"/>
    </row>
    <row r="207" spans="1:14" ht="12.45" hidden="1">
      <c r="A207" t="str">
        <f ca="1">IFERROR(__xludf.DUMMYFUNCTION("""COMPUTED_VALUE"""),"V-2-410")</f>
        <v>V-2-410</v>
      </c>
      <c r="B207" t="str">
        <f ca="1">IFERROR(__xludf.DUMMYFUNCTION("""COMPUTED_VALUE"""),"Степанцев")</f>
        <v>Степанцев</v>
      </c>
      <c r="C207" t="str">
        <f ca="1">IFERROR(__xludf.DUMMYFUNCTION("""COMPUTED_VALUE"""),"Андрей")</f>
        <v>Андрей</v>
      </c>
      <c r="D207" t="str">
        <f ca="1">IFERROR(__xludf.DUMMYFUNCTION("""COMPUTED_VALUE"""),"Школа 482")</f>
        <v>Школа 482</v>
      </c>
      <c r="E207" s="5">
        <f ca="1">IFERROR(__xludf.DUMMYFUNCTION("""COMPUTED_VALUE"""),3)</f>
        <v>3</v>
      </c>
      <c r="F207" s="5">
        <f ca="1">IFERROR(__xludf.DUMMYFUNCTION("""COMPUTED_VALUE"""),0)</f>
        <v>0</v>
      </c>
      <c r="G207" s="5">
        <f ca="1">IFERROR(__xludf.DUMMYFUNCTION("""COMPUTED_VALUE"""),4)</f>
        <v>4</v>
      </c>
      <c r="H207" s="5">
        <f ca="1">IFERROR(__xludf.DUMMYFUNCTION("""COMPUTED_VALUE"""),0)</f>
        <v>0</v>
      </c>
      <c r="I207" s="5">
        <f ca="1">IFERROR(__xludf.DUMMYFUNCTION("""COMPUTED_VALUE"""),0)</f>
        <v>0</v>
      </c>
      <c r="J207" s="5">
        <f ca="1">IFERROR(__xludf.DUMMYFUNCTION("""COMPUTED_VALUE"""),0)</f>
        <v>0</v>
      </c>
      <c r="K207" s="5">
        <f ca="1">IFERROR(__xludf.DUMMYFUNCTION("""COMPUTED_VALUE"""),0)</f>
        <v>0</v>
      </c>
      <c r="L207" s="5">
        <f ca="1">IFERROR(__xludf.DUMMYFUNCTION("""COMPUTED_VALUE"""),0)</f>
        <v>0</v>
      </c>
      <c r="M207">
        <f ca="1">IFERROR(__xludf.DUMMYFUNCTION("""COMPUTED_VALUE"""),7)</f>
        <v>7</v>
      </c>
      <c r="N207" s="8"/>
    </row>
    <row r="208" spans="1:14" ht="12.45" hidden="1">
      <c r="A208" t="str">
        <f ca="1">IFERROR(__xludf.DUMMYFUNCTION("""COMPUTED_VALUE"""),"III-2-155")</f>
        <v>III-2-155</v>
      </c>
      <c r="B208" t="str">
        <f ca="1">IFERROR(__xludf.DUMMYFUNCTION("""COMPUTED_VALUE"""),"Ефремов")</f>
        <v>Ефремов</v>
      </c>
      <c r="C208" t="str">
        <f ca="1">IFERROR(__xludf.DUMMYFUNCTION("""COMPUTED_VALUE"""),"Егор")</f>
        <v>Егор</v>
      </c>
      <c r="D208" t="str">
        <f ca="1">IFERROR(__xludf.DUMMYFUNCTION("""COMPUTED_VALUE"""),"Гимназия 92")</f>
        <v>Гимназия 92</v>
      </c>
      <c r="E208" s="5">
        <f ca="1">IFERROR(__xludf.DUMMYFUNCTION("""COMPUTED_VALUE"""),3)</f>
        <v>3</v>
      </c>
      <c r="F208" s="5">
        <f ca="1">IFERROR(__xludf.DUMMYFUNCTION("""COMPUTED_VALUE"""),0)</f>
        <v>0</v>
      </c>
      <c r="G208" s="5">
        <f ca="1">IFERROR(__xludf.DUMMYFUNCTION("""COMPUTED_VALUE"""),4)</f>
        <v>4</v>
      </c>
      <c r="H208" s="5">
        <f ca="1">IFERROR(__xludf.DUMMYFUNCTION("""COMPUTED_VALUE"""),0)</f>
        <v>0</v>
      </c>
      <c r="I208" s="5">
        <f ca="1">IFERROR(__xludf.DUMMYFUNCTION("""COMPUTED_VALUE"""),0)</f>
        <v>0</v>
      </c>
      <c r="J208" s="5">
        <f ca="1">IFERROR(__xludf.DUMMYFUNCTION("""COMPUTED_VALUE"""),0)</f>
        <v>0</v>
      </c>
      <c r="K208" s="5">
        <f ca="1">IFERROR(__xludf.DUMMYFUNCTION("""COMPUTED_VALUE"""),0)</f>
        <v>0</v>
      </c>
      <c r="L208" s="5">
        <f ca="1">IFERROR(__xludf.DUMMYFUNCTION("""COMPUTED_VALUE"""),0)</f>
        <v>0</v>
      </c>
      <c r="M208">
        <f ca="1">IFERROR(__xludf.DUMMYFUNCTION("""COMPUTED_VALUE"""),7)</f>
        <v>7</v>
      </c>
      <c r="N208" s="8"/>
    </row>
    <row r="209" spans="1:14" ht="12.45" hidden="1">
      <c r="A209" t="str">
        <f ca="1">IFERROR(__xludf.DUMMYFUNCTION("""COMPUTED_VALUE"""),"III-2-120")</f>
        <v>III-2-120</v>
      </c>
      <c r="B209" t="str">
        <f ca="1">IFERROR(__xludf.DUMMYFUNCTION("""COMPUTED_VALUE"""),"Губко")</f>
        <v>Губко</v>
      </c>
      <c r="C209" t="str">
        <f ca="1">IFERROR(__xludf.DUMMYFUNCTION("""COMPUTED_VALUE"""),"Ольга")</f>
        <v>Ольга</v>
      </c>
      <c r="D209" t="str">
        <f ca="1">IFERROR(__xludf.DUMMYFUNCTION("""COMPUTED_VALUE"""),"Школа 246")</f>
        <v>Школа 246</v>
      </c>
      <c r="E209" s="5">
        <f ca="1">IFERROR(__xludf.DUMMYFUNCTION("""COMPUTED_VALUE"""),3)</f>
        <v>3</v>
      </c>
      <c r="F209" s="5">
        <f ca="1">IFERROR(__xludf.DUMMYFUNCTION("""COMPUTED_VALUE"""),0)</f>
        <v>0</v>
      </c>
      <c r="G209" s="5">
        <f ca="1">IFERROR(__xludf.DUMMYFUNCTION("""COMPUTED_VALUE"""),4)</f>
        <v>4</v>
      </c>
      <c r="H209" s="5">
        <f ca="1">IFERROR(__xludf.DUMMYFUNCTION("""COMPUTED_VALUE"""),0)</f>
        <v>0</v>
      </c>
      <c r="I209" s="5">
        <f ca="1">IFERROR(__xludf.DUMMYFUNCTION("""COMPUTED_VALUE"""),0)</f>
        <v>0</v>
      </c>
      <c r="J209" s="5">
        <f ca="1">IFERROR(__xludf.DUMMYFUNCTION("""COMPUTED_VALUE"""),0)</f>
        <v>0</v>
      </c>
      <c r="K209" s="5">
        <f ca="1">IFERROR(__xludf.DUMMYFUNCTION("""COMPUTED_VALUE"""),0)</f>
        <v>0</v>
      </c>
      <c r="L209" s="5">
        <f ca="1">IFERROR(__xludf.DUMMYFUNCTION("""COMPUTED_VALUE"""),0)</f>
        <v>0</v>
      </c>
      <c r="M209">
        <f ca="1">IFERROR(__xludf.DUMMYFUNCTION("""COMPUTED_VALUE"""),7)</f>
        <v>7</v>
      </c>
      <c r="N209" s="8"/>
    </row>
    <row r="210" spans="1:14" ht="12.45" hidden="1">
      <c r="A210" t="str">
        <f ca="1">IFERROR(__xludf.DUMMYFUNCTION("""COMPUTED_VALUE"""),"III-2-019")</f>
        <v>III-2-019</v>
      </c>
      <c r="B210" t="str">
        <f ca="1">IFERROR(__xludf.DUMMYFUNCTION("""COMPUTED_VALUE"""),"Антонов")</f>
        <v>Антонов</v>
      </c>
      <c r="C210" t="str">
        <f ca="1">IFERROR(__xludf.DUMMYFUNCTION("""COMPUTED_VALUE"""),"Артём")</f>
        <v>Артём</v>
      </c>
      <c r="D210" t="str">
        <f ca="1">IFERROR(__xludf.DUMMYFUNCTION("""COMPUTED_VALUE"""),"Школа 509")</f>
        <v>Школа 509</v>
      </c>
      <c r="E210" s="5">
        <f ca="1">IFERROR(__xludf.DUMMYFUNCTION("""COMPUTED_VALUE"""),3)</f>
        <v>3</v>
      </c>
      <c r="F210" s="5">
        <f ca="1">IFERROR(__xludf.DUMMYFUNCTION("""COMPUTED_VALUE"""),0)</f>
        <v>0</v>
      </c>
      <c r="G210" s="5">
        <f ca="1">IFERROR(__xludf.DUMMYFUNCTION("""COMPUTED_VALUE"""),4)</f>
        <v>4</v>
      </c>
      <c r="H210" s="5">
        <f ca="1">IFERROR(__xludf.DUMMYFUNCTION("""COMPUTED_VALUE"""),0)</f>
        <v>0</v>
      </c>
      <c r="I210" s="5">
        <f ca="1">IFERROR(__xludf.DUMMYFUNCTION("""COMPUTED_VALUE"""),0)</f>
        <v>0</v>
      </c>
      <c r="J210" s="5">
        <f ca="1">IFERROR(__xludf.DUMMYFUNCTION("""COMPUTED_VALUE"""),0)</f>
        <v>0</v>
      </c>
      <c r="K210" s="5">
        <f ca="1">IFERROR(__xludf.DUMMYFUNCTION("""COMPUTED_VALUE"""),0)</f>
        <v>0</v>
      </c>
      <c r="L210" s="5">
        <f ca="1">IFERROR(__xludf.DUMMYFUNCTION("""COMPUTED_VALUE"""),0)</f>
        <v>0</v>
      </c>
      <c r="M210">
        <f ca="1">IFERROR(__xludf.DUMMYFUNCTION("""COMPUTED_VALUE"""),7)</f>
        <v>7</v>
      </c>
      <c r="N210" s="8"/>
    </row>
    <row r="211" spans="1:14" ht="12.45" hidden="1">
      <c r="A211" t="str">
        <f ca="1">IFERROR(__xludf.DUMMYFUNCTION("""COMPUTED_VALUE"""),"V-2-430")</f>
        <v>V-2-430</v>
      </c>
      <c r="B211" t="str">
        <f ca="1">IFERROR(__xludf.DUMMYFUNCTION("""COMPUTED_VALUE"""),"Тютерев")</f>
        <v>Тютерев</v>
      </c>
      <c r="C211" t="str">
        <f ca="1">IFERROR(__xludf.DUMMYFUNCTION("""COMPUTED_VALUE"""),"Иван")</f>
        <v>Иван</v>
      </c>
      <c r="D211" t="str">
        <f ca="1">IFERROR(__xludf.DUMMYFUNCTION("""COMPUTED_VALUE"""),"Гимназия 271")</f>
        <v>Гимназия 271</v>
      </c>
      <c r="E211" s="5">
        <f ca="1">IFERROR(__xludf.DUMMYFUNCTION("""COMPUTED_VALUE"""),1)</f>
        <v>1</v>
      </c>
      <c r="F211" s="5">
        <f ca="1">IFERROR(__xludf.DUMMYFUNCTION("""COMPUTED_VALUE"""),4)</f>
        <v>4</v>
      </c>
      <c r="G211" s="5">
        <f ca="1">IFERROR(__xludf.DUMMYFUNCTION("""COMPUTED_VALUE"""),2)</f>
        <v>2</v>
      </c>
      <c r="H211" s="5">
        <f ca="1">IFERROR(__xludf.DUMMYFUNCTION("""COMPUTED_VALUE"""),0)</f>
        <v>0</v>
      </c>
      <c r="I211" s="5">
        <f ca="1">IFERROR(__xludf.DUMMYFUNCTION("""COMPUTED_VALUE"""),0)</f>
        <v>0</v>
      </c>
      <c r="J211" s="5">
        <f ca="1">IFERROR(__xludf.DUMMYFUNCTION("""COMPUTED_VALUE"""),0)</f>
        <v>0</v>
      </c>
      <c r="K211" s="5">
        <f ca="1">IFERROR(__xludf.DUMMYFUNCTION("""COMPUTED_VALUE"""),0)</f>
        <v>0</v>
      </c>
      <c r="L211" s="5">
        <f ca="1">IFERROR(__xludf.DUMMYFUNCTION("""COMPUTED_VALUE"""),0)</f>
        <v>0</v>
      </c>
      <c r="M211">
        <f ca="1">IFERROR(__xludf.DUMMYFUNCTION("""COMPUTED_VALUE"""),7)</f>
        <v>7</v>
      </c>
      <c r="N211" s="8"/>
    </row>
    <row r="212" spans="1:14" ht="12.45" hidden="1">
      <c r="A212" t="str">
        <f ca="1">IFERROR(__xludf.DUMMYFUNCTION("""COMPUTED_VALUE"""),"III-2-025")</f>
        <v>III-2-025</v>
      </c>
      <c r="B212" t="str">
        <f ca="1">IFERROR(__xludf.DUMMYFUNCTION("""COMPUTED_VALUE"""),"Афонова")</f>
        <v>Афонова</v>
      </c>
      <c r="C212" t="str">
        <f ca="1">IFERROR(__xludf.DUMMYFUNCTION("""COMPUTED_VALUE"""),"Юлиана")</f>
        <v>Юлиана</v>
      </c>
      <c r="D212" t="str">
        <f ca="1">IFERROR(__xludf.DUMMYFUNCTION("""COMPUTED_VALUE"""),"Гимназия 642")</f>
        <v>Гимназия 642</v>
      </c>
      <c r="E212" s="5">
        <f ca="1">IFERROR(__xludf.DUMMYFUNCTION("""COMPUTED_VALUE"""),3)</f>
        <v>3</v>
      </c>
      <c r="F212" s="5">
        <f ca="1">IFERROR(__xludf.DUMMYFUNCTION("""COMPUTED_VALUE"""),4)</f>
        <v>4</v>
      </c>
      <c r="G212" s="5">
        <f ca="1">IFERROR(__xludf.DUMMYFUNCTION("""COMPUTED_VALUE"""),0)</f>
        <v>0</v>
      </c>
      <c r="H212" s="5">
        <f ca="1">IFERROR(__xludf.DUMMYFUNCTION("""COMPUTED_VALUE"""),0)</f>
        <v>0</v>
      </c>
      <c r="I212" s="5">
        <f ca="1">IFERROR(__xludf.DUMMYFUNCTION("""COMPUTED_VALUE"""),0)</f>
        <v>0</v>
      </c>
      <c r="J212" s="5">
        <f ca="1">IFERROR(__xludf.DUMMYFUNCTION("""COMPUTED_VALUE"""),0)</f>
        <v>0</v>
      </c>
      <c r="K212" s="5">
        <f ca="1">IFERROR(__xludf.DUMMYFUNCTION("""COMPUTED_VALUE"""),0)</f>
        <v>0</v>
      </c>
      <c r="L212" s="5">
        <f ca="1">IFERROR(__xludf.DUMMYFUNCTION("""COMPUTED_VALUE"""),0)</f>
        <v>0</v>
      </c>
      <c r="M212">
        <f ca="1">IFERROR(__xludf.DUMMYFUNCTION("""COMPUTED_VALUE"""),7)</f>
        <v>7</v>
      </c>
      <c r="N212" s="8"/>
    </row>
    <row r="213" spans="1:14" ht="12.45" hidden="1">
      <c r="A213" t="str">
        <f ca="1">IFERROR(__xludf.DUMMYFUNCTION("""COMPUTED_VALUE"""),"V-2-394")</f>
        <v>V-2-394</v>
      </c>
      <c r="B213" t="str">
        <f ca="1">IFERROR(__xludf.DUMMYFUNCTION("""COMPUTED_VALUE"""),"Складчикова")</f>
        <v>Складчикова</v>
      </c>
      <c r="C213" t="str">
        <f ca="1">IFERROR(__xludf.DUMMYFUNCTION("""COMPUTED_VALUE"""),"Олеся")</f>
        <v>Олеся</v>
      </c>
      <c r="D213" t="str">
        <f ca="1">IFERROR(__xludf.DUMMYFUNCTION("""COMPUTED_VALUE"""),"Школа ЦО Кудрово")</f>
        <v>Школа ЦО Кудрово</v>
      </c>
      <c r="E213" s="5">
        <f ca="1">IFERROR(__xludf.DUMMYFUNCTION("""COMPUTED_VALUE"""),3)</f>
        <v>3</v>
      </c>
      <c r="F213" s="5">
        <f ca="1">IFERROR(__xludf.DUMMYFUNCTION("""COMPUTED_VALUE"""),4)</f>
        <v>4</v>
      </c>
      <c r="G213" s="5">
        <f ca="1">IFERROR(__xludf.DUMMYFUNCTION("""COMPUTED_VALUE"""),0)</f>
        <v>0</v>
      </c>
      <c r="H213" s="5">
        <f ca="1">IFERROR(__xludf.DUMMYFUNCTION("""COMPUTED_VALUE"""),0)</f>
        <v>0</v>
      </c>
      <c r="I213" s="5">
        <f ca="1">IFERROR(__xludf.DUMMYFUNCTION("""COMPUTED_VALUE"""),0)</f>
        <v>0</v>
      </c>
      <c r="J213" s="5">
        <f ca="1">IFERROR(__xludf.DUMMYFUNCTION("""COMPUTED_VALUE"""),0)</f>
        <v>0</v>
      </c>
      <c r="K213" s="5">
        <f ca="1">IFERROR(__xludf.DUMMYFUNCTION("""COMPUTED_VALUE"""),0)</f>
        <v>0</v>
      </c>
      <c r="L213" s="5">
        <f ca="1">IFERROR(__xludf.DUMMYFUNCTION("""COMPUTED_VALUE"""),0)</f>
        <v>0</v>
      </c>
      <c r="M213">
        <f ca="1">IFERROR(__xludf.DUMMYFUNCTION("""COMPUTED_VALUE"""),7)</f>
        <v>7</v>
      </c>
      <c r="N213" s="8"/>
    </row>
    <row r="214" spans="1:14" ht="12.45" hidden="1">
      <c r="A214" t="str">
        <f ca="1">IFERROR(__xludf.DUMMYFUNCTION("""COMPUTED_VALUE"""),"III-2-037")</f>
        <v>III-2-037</v>
      </c>
      <c r="B214" t="str">
        <f ca="1">IFERROR(__xludf.DUMMYFUNCTION("""COMPUTED_VALUE"""),"Баранова")</f>
        <v>Баранова</v>
      </c>
      <c r="C214" t="str">
        <f ca="1">IFERROR(__xludf.DUMMYFUNCTION("""COMPUTED_VALUE"""),"Марина")</f>
        <v>Марина</v>
      </c>
      <c r="D214" t="str">
        <f ca="1">IFERROR(__xludf.DUMMYFUNCTION("""COMPUTED_VALUE"""),"Гимназия Александрийская гимназия 628")</f>
        <v>Гимназия Александрийская гимназия 628</v>
      </c>
      <c r="E214" s="5">
        <f ca="1">IFERROR(__xludf.DUMMYFUNCTION("""COMPUTED_VALUE"""),3)</f>
        <v>3</v>
      </c>
      <c r="F214" s="5">
        <f ca="1">IFERROR(__xludf.DUMMYFUNCTION("""COMPUTED_VALUE"""),4)</f>
        <v>4</v>
      </c>
      <c r="G214" s="5">
        <f ca="1">IFERROR(__xludf.DUMMYFUNCTION("""COMPUTED_VALUE"""),0)</f>
        <v>0</v>
      </c>
      <c r="H214" s="5">
        <f ca="1">IFERROR(__xludf.DUMMYFUNCTION("""COMPUTED_VALUE"""),0)</f>
        <v>0</v>
      </c>
      <c r="I214" s="5">
        <f ca="1">IFERROR(__xludf.DUMMYFUNCTION("""COMPUTED_VALUE"""),0)</f>
        <v>0</v>
      </c>
      <c r="J214" s="5">
        <f ca="1">IFERROR(__xludf.DUMMYFUNCTION("""COMPUTED_VALUE"""),0)</f>
        <v>0</v>
      </c>
      <c r="K214" s="5">
        <f ca="1">IFERROR(__xludf.DUMMYFUNCTION("""COMPUTED_VALUE"""),0)</f>
        <v>0</v>
      </c>
      <c r="L214" s="5">
        <f ca="1">IFERROR(__xludf.DUMMYFUNCTION("""COMPUTED_VALUE"""),0)</f>
        <v>0</v>
      </c>
      <c r="M214">
        <f ca="1">IFERROR(__xludf.DUMMYFUNCTION("""COMPUTED_VALUE"""),7)</f>
        <v>7</v>
      </c>
      <c r="N214" s="8"/>
    </row>
    <row r="215" spans="1:14" ht="12.45" hidden="1">
      <c r="A215" t="str">
        <f ca="1">IFERROR(__xludf.DUMMYFUNCTION("""COMPUTED_VALUE"""),"V-2-331")</f>
        <v>V-2-331</v>
      </c>
      <c r="B215" t="str">
        <f ca="1">IFERROR(__xludf.DUMMYFUNCTION("""COMPUTED_VALUE"""),"Петров")</f>
        <v>Петров</v>
      </c>
      <c r="C215" t="str">
        <f ca="1">IFERROR(__xludf.DUMMYFUNCTION("""COMPUTED_VALUE"""),"Богдан")</f>
        <v>Богдан</v>
      </c>
      <c r="D215" t="str">
        <f ca="1">IFERROR(__xludf.DUMMYFUNCTION("""COMPUTED_VALUE"""),"Школа 372")</f>
        <v>Школа 372</v>
      </c>
      <c r="E215" s="5">
        <f ca="1">IFERROR(__xludf.DUMMYFUNCTION("""COMPUTED_VALUE"""),3)</f>
        <v>3</v>
      </c>
      <c r="F215" s="5">
        <f ca="1">IFERROR(__xludf.DUMMYFUNCTION("""COMPUTED_VALUE"""),4)</f>
        <v>4</v>
      </c>
      <c r="G215" s="5">
        <f ca="1">IFERROR(__xludf.DUMMYFUNCTION("""COMPUTED_VALUE"""),0)</f>
        <v>0</v>
      </c>
      <c r="H215" s="5">
        <f ca="1">IFERROR(__xludf.DUMMYFUNCTION("""COMPUTED_VALUE"""),0)</f>
        <v>0</v>
      </c>
      <c r="I215" s="5">
        <f ca="1">IFERROR(__xludf.DUMMYFUNCTION("""COMPUTED_VALUE"""),0)</f>
        <v>0</v>
      </c>
      <c r="J215" s="5">
        <f ca="1">IFERROR(__xludf.DUMMYFUNCTION("""COMPUTED_VALUE"""),0)</f>
        <v>0</v>
      </c>
      <c r="K215" s="5">
        <f ca="1">IFERROR(__xludf.DUMMYFUNCTION("""COMPUTED_VALUE"""),0)</f>
        <v>0</v>
      </c>
      <c r="L215" s="5">
        <f ca="1">IFERROR(__xludf.DUMMYFUNCTION("""COMPUTED_VALUE"""),0)</f>
        <v>0</v>
      </c>
      <c r="M215">
        <f ca="1">IFERROR(__xludf.DUMMYFUNCTION("""COMPUTED_VALUE"""),7)</f>
        <v>7</v>
      </c>
      <c r="N215" s="8"/>
    </row>
    <row r="216" spans="1:14" ht="12.45" hidden="1">
      <c r="A216" t="str">
        <f ca="1">IFERROR(__xludf.DUMMYFUNCTION("""COMPUTED_VALUE"""),"III-2-235")</f>
        <v>III-2-235</v>
      </c>
      <c r="B216" t="str">
        <f ca="1">IFERROR(__xludf.DUMMYFUNCTION("""COMPUTED_VALUE"""),"Кунеш")</f>
        <v>Кунеш</v>
      </c>
      <c r="C216" t="str">
        <f ca="1">IFERROR(__xludf.DUMMYFUNCTION("""COMPUTED_VALUE"""),"Даниил")</f>
        <v>Даниил</v>
      </c>
      <c r="D216" t="str">
        <f ca="1">IFERROR(__xludf.DUMMYFUNCTION("""COMPUTED_VALUE"""),"Школа 160")</f>
        <v>Школа 160</v>
      </c>
      <c r="E216" s="5">
        <f ca="1">IFERROR(__xludf.DUMMYFUNCTION("""COMPUTED_VALUE"""),3)</f>
        <v>3</v>
      </c>
      <c r="F216" s="5">
        <f ca="1">IFERROR(__xludf.DUMMYFUNCTION("""COMPUTED_VALUE"""),4)</f>
        <v>4</v>
      </c>
      <c r="G216" s="5">
        <f ca="1">IFERROR(__xludf.DUMMYFUNCTION("""COMPUTED_VALUE"""),0)</f>
        <v>0</v>
      </c>
      <c r="H216" s="5">
        <f ca="1">IFERROR(__xludf.DUMMYFUNCTION("""COMPUTED_VALUE"""),0)</f>
        <v>0</v>
      </c>
      <c r="I216" s="5">
        <f ca="1">IFERROR(__xludf.DUMMYFUNCTION("""COMPUTED_VALUE"""),0)</f>
        <v>0</v>
      </c>
      <c r="J216" s="5">
        <f ca="1">IFERROR(__xludf.DUMMYFUNCTION("""COMPUTED_VALUE"""),0)</f>
        <v>0</v>
      </c>
      <c r="K216" s="5">
        <f ca="1">IFERROR(__xludf.DUMMYFUNCTION("""COMPUTED_VALUE"""),0)</f>
        <v>0</v>
      </c>
      <c r="L216" s="5">
        <f ca="1">IFERROR(__xludf.DUMMYFUNCTION("""COMPUTED_VALUE"""),0)</f>
        <v>0</v>
      </c>
      <c r="M216">
        <f ca="1">IFERROR(__xludf.DUMMYFUNCTION("""COMPUTED_VALUE"""),7)</f>
        <v>7</v>
      </c>
      <c r="N216" s="8"/>
    </row>
    <row r="217" spans="1:14" ht="12.45" hidden="1">
      <c r="A217" t="str">
        <f ca="1">IFERROR(__xludf.DUMMYFUNCTION("""COMPUTED_VALUE"""),"III-2-132")</f>
        <v>III-2-132</v>
      </c>
      <c r="B217" t="str">
        <f ca="1">IFERROR(__xludf.DUMMYFUNCTION("""COMPUTED_VALUE"""),"Добрицын")</f>
        <v>Добрицын</v>
      </c>
      <c r="C217" t="str">
        <f ca="1">IFERROR(__xludf.DUMMYFUNCTION("""COMPUTED_VALUE"""),"Глеб")</f>
        <v>Глеб</v>
      </c>
      <c r="D217" t="str">
        <f ca="1">IFERROR(__xludf.DUMMYFUNCTION("""COMPUTED_VALUE"""),"Гимназия 92")</f>
        <v>Гимназия 92</v>
      </c>
      <c r="E217" s="5">
        <f ca="1">IFERROR(__xludf.DUMMYFUNCTION("""COMPUTED_VALUE"""),3)</f>
        <v>3</v>
      </c>
      <c r="F217" s="5">
        <f ca="1">IFERROR(__xludf.DUMMYFUNCTION("""COMPUTED_VALUE"""),4)</f>
        <v>4</v>
      </c>
      <c r="G217" s="5">
        <f ca="1">IFERROR(__xludf.DUMMYFUNCTION("""COMPUTED_VALUE"""),0)</f>
        <v>0</v>
      </c>
      <c r="H217" s="5">
        <f ca="1">IFERROR(__xludf.DUMMYFUNCTION("""COMPUTED_VALUE"""),0)</f>
        <v>0</v>
      </c>
      <c r="I217" s="5">
        <f ca="1">IFERROR(__xludf.DUMMYFUNCTION("""COMPUTED_VALUE"""),0)</f>
        <v>0</v>
      </c>
      <c r="J217" s="5">
        <f ca="1">IFERROR(__xludf.DUMMYFUNCTION("""COMPUTED_VALUE"""),0)</f>
        <v>0</v>
      </c>
      <c r="K217" s="5">
        <f ca="1">IFERROR(__xludf.DUMMYFUNCTION("""COMPUTED_VALUE"""),0)</f>
        <v>0</v>
      </c>
      <c r="L217" s="5">
        <f ca="1">IFERROR(__xludf.DUMMYFUNCTION("""COMPUTED_VALUE"""),0)</f>
        <v>0</v>
      </c>
      <c r="M217">
        <f ca="1">IFERROR(__xludf.DUMMYFUNCTION("""COMPUTED_VALUE"""),7)</f>
        <v>7</v>
      </c>
      <c r="N217" s="8"/>
    </row>
    <row r="218" spans="1:14" ht="12.45" hidden="1">
      <c r="A218" t="str">
        <f ca="1">IFERROR(__xludf.DUMMYFUNCTION("""COMPUTED_VALUE"""),"V-2-389")</f>
        <v>V-2-389</v>
      </c>
      <c r="B218" t="str">
        <f ca="1">IFERROR(__xludf.DUMMYFUNCTION("""COMPUTED_VALUE"""),"Симанович")</f>
        <v>Симанович</v>
      </c>
      <c r="C218" t="str">
        <f ca="1">IFERROR(__xludf.DUMMYFUNCTION("""COMPUTED_VALUE"""),"Елизавета")</f>
        <v>Елизавета</v>
      </c>
      <c r="D218" t="str">
        <f ca="1">IFERROR(__xludf.DUMMYFUNCTION("""COMPUTED_VALUE"""),"Гимназия ЧОУ Петершеле")</f>
        <v>Гимназия ЧОУ Петершеле</v>
      </c>
      <c r="E218" s="5">
        <f ca="1">IFERROR(__xludf.DUMMYFUNCTION("""COMPUTED_VALUE"""),3)</f>
        <v>3</v>
      </c>
      <c r="F218" s="5">
        <f ca="1">IFERROR(__xludf.DUMMYFUNCTION("""COMPUTED_VALUE"""),0)</f>
        <v>0</v>
      </c>
      <c r="G218" s="5">
        <f ca="1">IFERROR(__xludf.DUMMYFUNCTION("""COMPUTED_VALUE"""),0)</f>
        <v>0</v>
      </c>
      <c r="H218" s="5">
        <f ca="1">IFERROR(__xludf.DUMMYFUNCTION("""COMPUTED_VALUE"""),0)</f>
        <v>0</v>
      </c>
      <c r="I218" s="5">
        <f ca="1">IFERROR(__xludf.DUMMYFUNCTION("""COMPUTED_VALUE"""),0)</f>
        <v>0</v>
      </c>
      <c r="J218" s="5">
        <f ca="1">IFERROR(__xludf.DUMMYFUNCTION("""COMPUTED_VALUE"""),3)</f>
        <v>3</v>
      </c>
      <c r="K218" s="5">
        <f ca="1">IFERROR(__xludf.DUMMYFUNCTION("""COMPUTED_VALUE"""),0)</f>
        <v>0</v>
      </c>
      <c r="L218" s="5">
        <f ca="1">IFERROR(__xludf.DUMMYFUNCTION("""COMPUTED_VALUE"""),0)</f>
        <v>0</v>
      </c>
      <c r="M218">
        <f ca="1">IFERROR(__xludf.DUMMYFUNCTION("""COMPUTED_VALUE"""),6)</f>
        <v>6</v>
      </c>
      <c r="N218" s="8"/>
    </row>
    <row r="219" spans="1:14" ht="12.45" hidden="1">
      <c r="A219" t="str">
        <f ca="1">IFERROR(__xludf.DUMMYFUNCTION("""COMPUTED_VALUE"""),"III-2-102")</f>
        <v>III-2-102</v>
      </c>
      <c r="B219" t="str">
        <f ca="1">IFERROR(__xludf.DUMMYFUNCTION("""COMPUTED_VALUE"""),"Горобинская")</f>
        <v>Горобинская</v>
      </c>
      <c r="C219" t="str">
        <f ca="1">IFERROR(__xludf.DUMMYFUNCTION("""COMPUTED_VALUE"""),"Ольга")</f>
        <v>Ольга</v>
      </c>
      <c r="D219" t="str">
        <f ca="1">IFERROR(__xludf.DUMMYFUNCTION("""COMPUTED_VALUE"""),"Гимназия 271")</f>
        <v>Гимназия 271</v>
      </c>
      <c r="E219" s="5">
        <f ca="1">IFERROR(__xludf.DUMMYFUNCTION("""COMPUTED_VALUE"""),1)</f>
        <v>1</v>
      </c>
      <c r="F219" s="5">
        <f ca="1">IFERROR(__xludf.DUMMYFUNCTION("""COMPUTED_VALUE"""),0)</f>
        <v>0</v>
      </c>
      <c r="G219" s="5">
        <f ca="1">IFERROR(__xludf.DUMMYFUNCTION("""COMPUTED_VALUE"""),0)</f>
        <v>0</v>
      </c>
      <c r="H219" s="5">
        <f ca="1">IFERROR(__xludf.DUMMYFUNCTION("""COMPUTED_VALUE"""),0)</f>
        <v>0</v>
      </c>
      <c r="I219" s="5">
        <f ca="1">IFERROR(__xludf.DUMMYFUNCTION("""COMPUTED_VALUE"""),3)</f>
        <v>3</v>
      </c>
      <c r="J219" s="5">
        <f ca="1">IFERROR(__xludf.DUMMYFUNCTION("""COMPUTED_VALUE"""),2)</f>
        <v>2</v>
      </c>
      <c r="K219" s="5">
        <f ca="1">IFERROR(__xludf.DUMMYFUNCTION("""COMPUTED_VALUE"""),0)</f>
        <v>0</v>
      </c>
      <c r="L219" s="5">
        <f ca="1">IFERROR(__xludf.DUMMYFUNCTION("""COMPUTED_VALUE"""),0)</f>
        <v>0</v>
      </c>
      <c r="M219">
        <f ca="1">IFERROR(__xludf.DUMMYFUNCTION("""COMPUTED_VALUE"""),6)</f>
        <v>6</v>
      </c>
      <c r="N219" s="8"/>
    </row>
    <row r="220" spans="1:14" ht="12.45" hidden="1">
      <c r="A220" t="str">
        <f ca="1">IFERROR(__xludf.DUMMYFUNCTION("""COMPUTED_VALUE"""),"V-2-275")</f>
        <v>V-2-275</v>
      </c>
      <c r="B220" t="str">
        <f ca="1">IFERROR(__xludf.DUMMYFUNCTION("""COMPUTED_VALUE"""),"Маньковский")</f>
        <v>Маньковский</v>
      </c>
      <c r="C220" t="str">
        <f ca="1">IFERROR(__xludf.DUMMYFUNCTION("""COMPUTED_VALUE"""),"Леонид")</f>
        <v>Леонид</v>
      </c>
      <c r="D220" t="str">
        <f ca="1">IFERROR(__xludf.DUMMYFUNCTION("""COMPUTED_VALUE"""),"Лицей 265")</f>
        <v>Лицей 265</v>
      </c>
      <c r="E220" s="5">
        <f ca="1">IFERROR(__xludf.DUMMYFUNCTION("""COMPUTED_VALUE"""),0)</f>
        <v>0</v>
      </c>
      <c r="F220" s="5">
        <f ca="1">IFERROR(__xludf.DUMMYFUNCTION("""COMPUTED_VALUE"""),0)</f>
        <v>0</v>
      </c>
      <c r="G220" s="5">
        <f ca="1">IFERROR(__xludf.DUMMYFUNCTION("""COMPUTED_VALUE"""),0)</f>
        <v>0</v>
      </c>
      <c r="H220" s="5">
        <f ca="1">IFERROR(__xludf.DUMMYFUNCTION("""COMPUTED_VALUE"""),2)</f>
        <v>2</v>
      </c>
      <c r="I220" s="5">
        <f ca="1">IFERROR(__xludf.DUMMYFUNCTION("""COMPUTED_VALUE"""),2)</f>
        <v>2</v>
      </c>
      <c r="J220" s="5">
        <f ca="1">IFERROR(__xludf.DUMMYFUNCTION("""COMPUTED_VALUE"""),2)</f>
        <v>2</v>
      </c>
      <c r="K220" s="5">
        <f ca="1">IFERROR(__xludf.DUMMYFUNCTION("""COMPUTED_VALUE"""),0)</f>
        <v>0</v>
      </c>
      <c r="L220" s="5">
        <f ca="1">IFERROR(__xludf.DUMMYFUNCTION("""COMPUTED_VALUE"""),0)</f>
        <v>0</v>
      </c>
      <c r="M220">
        <f ca="1">IFERROR(__xludf.DUMMYFUNCTION("""COMPUTED_VALUE"""),6)</f>
        <v>6</v>
      </c>
      <c r="N220" s="8"/>
    </row>
    <row r="221" spans="1:14" ht="12.45" hidden="1">
      <c r="A221" t="str">
        <f ca="1">IFERROR(__xludf.DUMMYFUNCTION("""COMPUTED_VALUE"""),"V-2-452")</f>
        <v>V-2-452</v>
      </c>
      <c r="B221" t="str">
        <f ca="1">IFERROR(__xludf.DUMMYFUNCTION("""COMPUTED_VALUE"""),"Храпков")</f>
        <v>Храпков</v>
      </c>
      <c r="C221" t="str">
        <f ca="1">IFERROR(__xludf.DUMMYFUNCTION("""COMPUTED_VALUE"""),"Антон")</f>
        <v>Антон</v>
      </c>
      <c r="D221" t="str">
        <f ca="1">IFERROR(__xludf.DUMMYFUNCTION("""COMPUTED_VALUE"""),"Школа Квадривиум")</f>
        <v>Школа Квадривиум</v>
      </c>
      <c r="E221" s="5">
        <f ca="1">IFERROR(__xludf.DUMMYFUNCTION("""COMPUTED_VALUE"""),0)</f>
        <v>0</v>
      </c>
      <c r="F221" s="5">
        <f ca="1">IFERROR(__xludf.DUMMYFUNCTION("""COMPUTED_VALUE"""),4)</f>
        <v>4</v>
      </c>
      <c r="G221" s="5">
        <f ca="1">IFERROR(__xludf.DUMMYFUNCTION("""COMPUTED_VALUE"""),0)</f>
        <v>0</v>
      </c>
      <c r="H221" s="5">
        <f ca="1">IFERROR(__xludf.DUMMYFUNCTION("""COMPUTED_VALUE"""),0)</f>
        <v>0</v>
      </c>
      <c r="I221" s="5">
        <f ca="1">IFERROR(__xludf.DUMMYFUNCTION("""COMPUTED_VALUE"""),0)</f>
        <v>0</v>
      </c>
      <c r="J221" s="5">
        <f ca="1">IFERROR(__xludf.DUMMYFUNCTION("""COMPUTED_VALUE"""),2)</f>
        <v>2</v>
      </c>
      <c r="K221" s="5">
        <f ca="1">IFERROR(__xludf.DUMMYFUNCTION("""COMPUTED_VALUE"""),0)</f>
        <v>0</v>
      </c>
      <c r="L221" s="5">
        <f ca="1">IFERROR(__xludf.DUMMYFUNCTION("""COMPUTED_VALUE"""),0)</f>
        <v>0</v>
      </c>
      <c r="M221">
        <f ca="1">IFERROR(__xludf.DUMMYFUNCTION("""COMPUTED_VALUE"""),6)</f>
        <v>6</v>
      </c>
      <c r="N221" s="8"/>
    </row>
    <row r="222" spans="1:14" ht="12.45" hidden="1">
      <c r="A222" t="str">
        <f ca="1">IFERROR(__xludf.DUMMYFUNCTION("""COMPUTED_VALUE"""),"III-2-143")</f>
        <v>III-2-143</v>
      </c>
      <c r="B222" t="str">
        <f ca="1">IFERROR(__xludf.DUMMYFUNCTION("""COMPUTED_VALUE"""),"Дулатов")</f>
        <v>Дулатов</v>
      </c>
      <c r="C222" t="str">
        <f ca="1">IFERROR(__xludf.DUMMYFUNCTION("""COMPUTED_VALUE"""),"Эльдар")</f>
        <v>Эльдар</v>
      </c>
      <c r="D222" t="str">
        <f ca="1">IFERROR(__xludf.DUMMYFUNCTION("""COMPUTED_VALUE"""),"Школа 348")</f>
        <v>Школа 348</v>
      </c>
      <c r="E222" s="5">
        <f ca="1">IFERROR(__xludf.DUMMYFUNCTION("""COMPUTED_VALUE"""),1)</f>
        <v>1</v>
      </c>
      <c r="F222" s="5">
        <f ca="1">IFERROR(__xludf.DUMMYFUNCTION("""COMPUTED_VALUE"""),0)</f>
        <v>0</v>
      </c>
      <c r="G222" s="5">
        <f ca="1">IFERROR(__xludf.DUMMYFUNCTION("""COMPUTED_VALUE"""),0)</f>
        <v>0</v>
      </c>
      <c r="H222" s="5">
        <f ca="1">IFERROR(__xludf.DUMMYFUNCTION("""COMPUTED_VALUE"""),0)</f>
        <v>0</v>
      </c>
      <c r="I222" s="5">
        <f ca="1">IFERROR(__xludf.DUMMYFUNCTION("""COMPUTED_VALUE"""),5)</f>
        <v>5</v>
      </c>
      <c r="J222" s="5">
        <f ca="1">IFERROR(__xludf.DUMMYFUNCTION("""COMPUTED_VALUE"""),0)</f>
        <v>0</v>
      </c>
      <c r="K222" s="5">
        <f ca="1">IFERROR(__xludf.DUMMYFUNCTION("""COMPUTED_VALUE"""),0)</f>
        <v>0</v>
      </c>
      <c r="L222" s="5">
        <f ca="1">IFERROR(__xludf.DUMMYFUNCTION("""COMPUTED_VALUE"""),0)</f>
        <v>0</v>
      </c>
      <c r="M222">
        <f ca="1">IFERROR(__xludf.DUMMYFUNCTION("""COMPUTED_VALUE"""),6)</f>
        <v>6</v>
      </c>
      <c r="N222" s="8"/>
    </row>
    <row r="223" spans="1:14" ht="12.45" hidden="1">
      <c r="A223" t="str">
        <f ca="1">IFERROR(__xludf.DUMMYFUNCTION("""COMPUTED_VALUE"""),"V-2-302")</f>
        <v>V-2-302</v>
      </c>
      <c r="B223" t="str">
        <f ca="1">IFERROR(__xludf.DUMMYFUNCTION("""COMPUTED_VALUE"""),"Мухтаров")</f>
        <v>Мухтаров</v>
      </c>
      <c r="C223" t="str">
        <f ca="1">IFERROR(__xludf.DUMMYFUNCTION("""COMPUTED_VALUE"""),"Эльдар")</f>
        <v>Эльдар</v>
      </c>
      <c r="D223" t="str">
        <f ca="1">IFERROR(__xludf.DUMMYFUNCTION("""COMPUTED_VALUE"""),"Школа Квадривиум")</f>
        <v>Школа Квадривиум</v>
      </c>
      <c r="E223" s="5">
        <f ca="1">IFERROR(__xludf.DUMMYFUNCTION("""COMPUTED_VALUE"""),3)</f>
        <v>3</v>
      </c>
      <c r="F223" s="5">
        <f ca="1">IFERROR(__xludf.DUMMYFUNCTION("""COMPUTED_VALUE"""),0)</f>
        <v>0</v>
      </c>
      <c r="G223" s="5">
        <f ca="1">IFERROR(__xludf.DUMMYFUNCTION("""COMPUTED_VALUE"""),0)</f>
        <v>0</v>
      </c>
      <c r="H223" s="5">
        <f ca="1">IFERROR(__xludf.DUMMYFUNCTION("""COMPUTED_VALUE"""),0)</f>
        <v>0</v>
      </c>
      <c r="I223" s="5">
        <f ca="1">IFERROR(__xludf.DUMMYFUNCTION("""COMPUTED_VALUE"""),3)</f>
        <v>3</v>
      </c>
      <c r="J223" s="5">
        <f ca="1">IFERROR(__xludf.DUMMYFUNCTION("""COMPUTED_VALUE"""),0)</f>
        <v>0</v>
      </c>
      <c r="K223" s="5">
        <f ca="1">IFERROR(__xludf.DUMMYFUNCTION("""COMPUTED_VALUE"""),0)</f>
        <v>0</v>
      </c>
      <c r="L223" s="5">
        <f ca="1">IFERROR(__xludf.DUMMYFUNCTION("""COMPUTED_VALUE"""),0)</f>
        <v>0</v>
      </c>
      <c r="M223">
        <f ca="1">IFERROR(__xludf.DUMMYFUNCTION("""COMPUTED_VALUE"""),6)</f>
        <v>6</v>
      </c>
      <c r="N223" s="8"/>
    </row>
    <row r="224" spans="1:14" ht="12.45" hidden="1">
      <c r="A224" t="str">
        <f ca="1">IFERROR(__xludf.DUMMYFUNCTION("""COMPUTED_VALUE"""),"V-2-291")</f>
        <v>V-2-291</v>
      </c>
      <c r="B224" t="str">
        <f ca="1">IFERROR(__xludf.DUMMYFUNCTION("""COMPUTED_VALUE"""),"Монахов")</f>
        <v>Монахов</v>
      </c>
      <c r="C224" t="str">
        <f ca="1">IFERROR(__xludf.DUMMYFUNCTION("""COMPUTED_VALUE"""),"Максим")</f>
        <v>Максим</v>
      </c>
      <c r="D224" t="str">
        <f ca="1">IFERROR(__xludf.DUMMYFUNCTION("""COMPUTED_VALUE"""),"Лицей 470")</f>
        <v>Лицей 470</v>
      </c>
      <c r="E224" s="5">
        <f ca="1">IFERROR(__xludf.DUMMYFUNCTION("""COMPUTED_VALUE"""),3)</f>
        <v>3</v>
      </c>
      <c r="F224" s="5">
        <f ca="1">IFERROR(__xludf.DUMMYFUNCTION("""COMPUTED_VALUE"""),0)</f>
        <v>0</v>
      </c>
      <c r="G224" s="5">
        <f ca="1">IFERROR(__xludf.DUMMYFUNCTION("""COMPUTED_VALUE"""),0)</f>
        <v>0</v>
      </c>
      <c r="H224" s="5">
        <f ca="1">IFERROR(__xludf.DUMMYFUNCTION("""COMPUTED_VALUE"""),0)</f>
        <v>0</v>
      </c>
      <c r="I224" s="5">
        <f ca="1">IFERROR(__xludf.DUMMYFUNCTION("""COMPUTED_VALUE"""),3)</f>
        <v>3</v>
      </c>
      <c r="J224" s="5">
        <f ca="1">IFERROR(__xludf.DUMMYFUNCTION("""COMPUTED_VALUE"""),0)</f>
        <v>0</v>
      </c>
      <c r="K224" s="5">
        <f ca="1">IFERROR(__xludf.DUMMYFUNCTION("""COMPUTED_VALUE"""),0)</f>
        <v>0</v>
      </c>
      <c r="L224" s="5">
        <f ca="1">IFERROR(__xludf.DUMMYFUNCTION("""COMPUTED_VALUE"""),0)</f>
        <v>0</v>
      </c>
      <c r="M224">
        <f ca="1">IFERROR(__xludf.DUMMYFUNCTION("""COMPUTED_VALUE"""),6)</f>
        <v>6</v>
      </c>
      <c r="N224" s="8"/>
    </row>
    <row r="225" spans="1:14" ht="12.45" hidden="1">
      <c r="A225" t="str">
        <f ca="1">IFERROR(__xludf.DUMMYFUNCTION("""COMPUTED_VALUE"""),"III-2-185")</f>
        <v>III-2-185</v>
      </c>
      <c r="B225" t="str">
        <f ca="1">IFERROR(__xludf.DUMMYFUNCTION("""COMPUTED_VALUE"""),"Итина")</f>
        <v>Итина</v>
      </c>
      <c r="C225" t="str">
        <f ca="1">IFERROR(__xludf.DUMMYFUNCTION("""COMPUTED_VALUE"""),"Виктория")</f>
        <v>Виктория</v>
      </c>
      <c r="D225" t="str">
        <f ca="1">IFERROR(__xludf.DUMMYFUNCTION("""COMPUTED_VALUE"""),"Лицей 366")</f>
        <v>Лицей 366</v>
      </c>
      <c r="E225" s="5">
        <f ca="1">IFERROR(__xludf.DUMMYFUNCTION("""COMPUTED_VALUE"""),0)</f>
        <v>0</v>
      </c>
      <c r="F225" s="5">
        <f ca="1">IFERROR(__xludf.DUMMYFUNCTION("""COMPUTED_VALUE"""),0)</f>
        <v>0</v>
      </c>
      <c r="G225" s="5">
        <f ca="1">IFERROR(__xludf.DUMMYFUNCTION("""COMPUTED_VALUE"""),4)</f>
        <v>4</v>
      </c>
      <c r="H225" s="5">
        <f ca="1">IFERROR(__xludf.DUMMYFUNCTION("""COMPUTED_VALUE"""),0)</f>
        <v>0</v>
      </c>
      <c r="I225" s="5">
        <f ca="1">IFERROR(__xludf.DUMMYFUNCTION("""COMPUTED_VALUE"""),2)</f>
        <v>2</v>
      </c>
      <c r="J225" s="5">
        <f ca="1">IFERROR(__xludf.DUMMYFUNCTION("""COMPUTED_VALUE"""),0)</f>
        <v>0</v>
      </c>
      <c r="K225" s="5">
        <f ca="1">IFERROR(__xludf.DUMMYFUNCTION("""COMPUTED_VALUE"""),0)</f>
        <v>0</v>
      </c>
      <c r="L225" s="5">
        <f ca="1">IFERROR(__xludf.DUMMYFUNCTION("""COMPUTED_VALUE"""),0)</f>
        <v>0</v>
      </c>
      <c r="M225">
        <f ca="1">IFERROR(__xludf.DUMMYFUNCTION("""COMPUTED_VALUE"""),6)</f>
        <v>6</v>
      </c>
      <c r="N225" s="8"/>
    </row>
    <row r="226" spans="1:14" ht="12.45" hidden="1">
      <c r="A226" t="str">
        <f ca="1">IFERROR(__xludf.DUMMYFUNCTION("""COMPUTED_VALUE"""),"III-2-004")</f>
        <v>III-2-004</v>
      </c>
      <c r="B226" t="str">
        <f ca="1">IFERROR(__xludf.DUMMYFUNCTION("""COMPUTED_VALUE"""),"Акмаев")</f>
        <v>Акмаев</v>
      </c>
      <c r="C226" t="str">
        <f ca="1">IFERROR(__xludf.DUMMYFUNCTION("""COMPUTED_VALUE"""),"Лев")</f>
        <v>Лев</v>
      </c>
      <c r="D226" t="str">
        <f ca="1">IFERROR(__xludf.DUMMYFUNCTION("""COMPUTED_VALUE"""),"Гимназия 92")</f>
        <v>Гимназия 92</v>
      </c>
      <c r="E226" s="5">
        <f ca="1">IFERROR(__xludf.DUMMYFUNCTION("""COMPUTED_VALUE"""),1)</f>
        <v>1</v>
      </c>
      <c r="F226" s="5">
        <f ca="1">IFERROR(__xludf.DUMMYFUNCTION("""COMPUTED_VALUE"""),4)</f>
        <v>4</v>
      </c>
      <c r="G226" s="5">
        <f ca="1">IFERROR(__xludf.DUMMYFUNCTION("""COMPUTED_VALUE"""),0)</f>
        <v>0</v>
      </c>
      <c r="H226" s="5">
        <f ca="1">IFERROR(__xludf.DUMMYFUNCTION("""COMPUTED_VALUE"""),0)</f>
        <v>0</v>
      </c>
      <c r="I226" s="5">
        <f ca="1">IFERROR(__xludf.DUMMYFUNCTION("""COMPUTED_VALUE"""),1)</f>
        <v>1</v>
      </c>
      <c r="J226" s="5">
        <f ca="1">IFERROR(__xludf.DUMMYFUNCTION("""COMPUTED_VALUE"""),0)</f>
        <v>0</v>
      </c>
      <c r="K226" s="5">
        <f ca="1">IFERROR(__xludf.DUMMYFUNCTION("""COMPUTED_VALUE"""),0)</f>
        <v>0</v>
      </c>
      <c r="L226" s="5">
        <f ca="1">IFERROR(__xludf.DUMMYFUNCTION("""COMPUTED_VALUE"""),0)</f>
        <v>0</v>
      </c>
      <c r="M226">
        <f ca="1">IFERROR(__xludf.DUMMYFUNCTION("""COMPUTED_VALUE"""),6)</f>
        <v>6</v>
      </c>
      <c r="N226" s="8"/>
    </row>
    <row r="227" spans="1:14" ht="12.45" hidden="1">
      <c r="A227" t="str">
        <f ca="1">IFERROR(__xludf.DUMMYFUNCTION("""COMPUTED_VALUE"""),"V-2-241")</f>
        <v>V-2-241</v>
      </c>
      <c r="B227" t="str">
        <f ca="1">IFERROR(__xludf.DUMMYFUNCTION("""COMPUTED_VALUE"""),"Кучинская")</f>
        <v>Кучинская</v>
      </c>
      <c r="C227" t="str">
        <f ca="1">IFERROR(__xludf.DUMMYFUNCTION("""COMPUTED_VALUE"""),"Анастасия")</f>
        <v>Анастасия</v>
      </c>
      <c r="D227" t="str">
        <f ca="1">IFERROR(__xludf.DUMMYFUNCTION("""COMPUTED_VALUE"""),"Гимназия 577")</f>
        <v>Гимназия 577</v>
      </c>
      <c r="E227" s="5">
        <f ca="1">IFERROR(__xludf.DUMMYFUNCTION("""COMPUTED_VALUE"""),3)</f>
        <v>3</v>
      </c>
      <c r="F227" s="5">
        <f ca="1">IFERROR(__xludf.DUMMYFUNCTION("""COMPUTED_VALUE"""),0)</f>
        <v>0</v>
      </c>
      <c r="G227" s="5">
        <f ca="1">IFERROR(__xludf.DUMMYFUNCTION("""COMPUTED_VALUE"""),0)</f>
        <v>0</v>
      </c>
      <c r="H227" s="5">
        <f ca="1">IFERROR(__xludf.DUMMYFUNCTION("""COMPUTED_VALUE"""),3)</f>
        <v>3</v>
      </c>
      <c r="I227" s="5">
        <f ca="1">IFERROR(__xludf.DUMMYFUNCTION("""COMPUTED_VALUE"""),0)</f>
        <v>0</v>
      </c>
      <c r="J227" s="5">
        <f ca="1">IFERROR(__xludf.DUMMYFUNCTION("""COMPUTED_VALUE"""),0)</f>
        <v>0</v>
      </c>
      <c r="K227" s="5">
        <f ca="1">IFERROR(__xludf.DUMMYFUNCTION("""COMPUTED_VALUE"""),0)</f>
        <v>0</v>
      </c>
      <c r="L227" s="5">
        <f ca="1">IFERROR(__xludf.DUMMYFUNCTION("""COMPUTED_VALUE"""),0)</f>
        <v>0</v>
      </c>
      <c r="M227">
        <f ca="1">IFERROR(__xludf.DUMMYFUNCTION("""COMPUTED_VALUE"""),6)</f>
        <v>6</v>
      </c>
      <c r="N227" s="8"/>
    </row>
    <row r="228" spans="1:14" ht="12.45" hidden="1">
      <c r="A228" t="str">
        <f ca="1">IFERROR(__xludf.DUMMYFUNCTION("""COMPUTED_VALUE"""),"V-2-428")</f>
        <v>V-2-428</v>
      </c>
      <c r="B228" t="str">
        <f ca="1">IFERROR(__xludf.DUMMYFUNCTION("""COMPUTED_VALUE"""),"Туманов")</f>
        <v>Туманов</v>
      </c>
      <c r="C228" t="str">
        <f ca="1">IFERROR(__xludf.DUMMYFUNCTION("""COMPUTED_VALUE"""),"Иван")</f>
        <v>Иван</v>
      </c>
      <c r="D228" t="str">
        <f ca="1">IFERROR(__xludf.DUMMYFUNCTION("""COMPUTED_VALUE"""),"Гимназия 271")</f>
        <v>Гимназия 271</v>
      </c>
      <c r="E228" s="5">
        <f ca="1">IFERROR(__xludf.DUMMYFUNCTION("""COMPUTED_VALUE"""),3)</f>
        <v>3</v>
      </c>
      <c r="F228" s="5">
        <f ca="1">IFERROR(__xludf.DUMMYFUNCTION("""COMPUTED_VALUE"""),0)</f>
        <v>0</v>
      </c>
      <c r="G228" s="5">
        <f ca="1">IFERROR(__xludf.DUMMYFUNCTION("""COMPUTED_VALUE"""),0)</f>
        <v>0</v>
      </c>
      <c r="H228" s="5">
        <f ca="1">IFERROR(__xludf.DUMMYFUNCTION("""COMPUTED_VALUE"""),3)</f>
        <v>3</v>
      </c>
      <c r="I228" s="5">
        <f ca="1">IFERROR(__xludf.DUMMYFUNCTION("""COMPUTED_VALUE"""),0)</f>
        <v>0</v>
      </c>
      <c r="J228" s="5">
        <f ca="1">IFERROR(__xludf.DUMMYFUNCTION("""COMPUTED_VALUE"""),0)</f>
        <v>0</v>
      </c>
      <c r="K228" s="5">
        <f ca="1">IFERROR(__xludf.DUMMYFUNCTION("""COMPUTED_VALUE"""),0)</f>
        <v>0</v>
      </c>
      <c r="L228" s="5">
        <f ca="1">IFERROR(__xludf.DUMMYFUNCTION("""COMPUTED_VALUE"""),0)</f>
        <v>0</v>
      </c>
      <c r="M228">
        <f ca="1">IFERROR(__xludf.DUMMYFUNCTION("""COMPUTED_VALUE"""),6)</f>
        <v>6</v>
      </c>
      <c r="N228" s="8"/>
    </row>
    <row r="229" spans="1:14" ht="12.45" hidden="1">
      <c r="A229" t="str">
        <f ca="1">IFERROR(__xludf.DUMMYFUNCTION("""COMPUTED_VALUE"""),"V-2-248")</f>
        <v>V-2-248</v>
      </c>
      <c r="B229" t="str">
        <f ca="1">IFERROR(__xludf.DUMMYFUNCTION("""COMPUTED_VALUE"""),"Ласкин")</f>
        <v>Ласкин</v>
      </c>
      <c r="C229" t="str">
        <f ca="1">IFERROR(__xludf.DUMMYFUNCTION("""COMPUTED_VALUE"""),"Владимир")</f>
        <v>Владимир</v>
      </c>
      <c r="D229" t="str">
        <f ca="1">IFERROR(__xludf.DUMMYFUNCTION("""COMPUTED_VALUE"""),"Гимназия 271")</f>
        <v>Гимназия 271</v>
      </c>
      <c r="E229" s="5">
        <f ca="1">IFERROR(__xludf.DUMMYFUNCTION("""COMPUTED_VALUE"""),0)</f>
        <v>0</v>
      </c>
      <c r="F229" s="5">
        <f ca="1">IFERROR(__xludf.DUMMYFUNCTION("""COMPUTED_VALUE"""),0)</f>
        <v>0</v>
      </c>
      <c r="G229" s="5">
        <f ca="1">IFERROR(__xludf.DUMMYFUNCTION("""COMPUTED_VALUE"""),4)</f>
        <v>4</v>
      </c>
      <c r="H229" s="5">
        <f ca="1">IFERROR(__xludf.DUMMYFUNCTION("""COMPUTED_VALUE"""),2)</f>
        <v>2</v>
      </c>
      <c r="I229" s="5">
        <f ca="1">IFERROR(__xludf.DUMMYFUNCTION("""COMPUTED_VALUE"""),0)</f>
        <v>0</v>
      </c>
      <c r="J229" s="5">
        <f ca="1">IFERROR(__xludf.DUMMYFUNCTION("""COMPUTED_VALUE"""),0)</f>
        <v>0</v>
      </c>
      <c r="K229" s="5">
        <f ca="1">IFERROR(__xludf.DUMMYFUNCTION("""COMPUTED_VALUE"""),0)</f>
        <v>0</v>
      </c>
      <c r="L229" s="5">
        <f ca="1">IFERROR(__xludf.DUMMYFUNCTION("""COMPUTED_VALUE"""),0)</f>
        <v>0</v>
      </c>
      <c r="M229">
        <f ca="1">IFERROR(__xludf.DUMMYFUNCTION("""COMPUTED_VALUE"""),6)</f>
        <v>6</v>
      </c>
      <c r="N229" s="8"/>
    </row>
    <row r="230" spans="1:14" ht="12.45" hidden="1">
      <c r="A230" t="str">
        <f ca="1">IFERROR(__xludf.DUMMYFUNCTION("""COMPUTED_VALUE"""),"III-2-076")</f>
        <v>III-2-076</v>
      </c>
      <c r="B230" t="str">
        <f ca="1">IFERROR(__xludf.DUMMYFUNCTION("""COMPUTED_VALUE"""),"Винакурова")</f>
        <v>Винакурова</v>
      </c>
      <c r="C230" t="str">
        <f ca="1">IFERROR(__xludf.DUMMYFUNCTION("""COMPUTED_VALUE"""),"Дарья")</f>
        <v>Дарья</v>
      </c>
      <c r="D230" t="str">
        <f ca="1">IFERROR(__xludf.DUMMYFUNCTION("""COMPUTED_VALUE"""),"Гимназия 271")</f>
        <v>Гимназия 271</v>
      </c>
      <c r="E230" s="5">
        <f ca="1">IFERROR(__xludf.DUMMYFUNCTION("""COMPUTED_VALUE"""),2)</f>
        <v>2</v>
      </c>
      <c r="F230" s="5">
        <f ca="1">IFERROR(__xludf.DUMMYFUNCTION("""COMPUTED_VALUE"""),0)</f>
        <v>0</v>
      </c>
      <c r="G230" s="5">
        <f ca="1">IFERROR(__xludf.DUMMYFUNCTION("""COMPUTED_VALUE"""),4)</f>
        <v>4</v>
      </c>
      <c r="H230" s="5">
        <f ca="1">IFERROR(__xludf.DUMMYFUNCTION("""COMPUTED_VALUE"""),0)</f>
        <v>0</v>
      </c>
      <c r="I230" s="5">
        <f ca="1">IFERROR(__xludf.DUMMYFUNCTION("""COMPUTED_VALUE"""),0)</f>
        <v>0</v>
      </c>
      <c r="J230" s="5">
        <f ca="1">IFERROR(__xludf.DUMMYFUNCTION("""COMPUTED_VALUE"""),0)</f>
        <v>0</v>
      </c>
      <c r="K230" s="5">
        <f ca="1">IFERROR(__xludf.DUMMYFUNCTION("""COMPUTED_VALUE"""),0)</f>
        <v>0</v>
      </c>
      <c r="L230" s="5">
        <f ca="1">IFERROR(__xludf.DUMMYFUNCTION("""COMPUTED_VALUE"""),0)</f>
        <v>0</v>
      </c>
      <c r="M230">
        <f ca="1">IFERROR(__xludf.DUMMYFUNCTION("""COMPUTED_VALUE"""),6)</f>
        <v>6</v>
      </c>
      <c r="N230" s="8"/>
    </row>
    <row r="231" spans="1:14" ht="12.45" hidden="1">
      <c r="A231" t="str">
        <f ca="1">IFERROR(__xludf.DUMMYFUNCTION("""COMPUTED_VALUE"""),"III-2-082")</f>
        <v>III-2-082</v>
      </c>
      <c r="B231" t="str">
        <f ca="1">IFERROR(__xludf.DUMMYFUNCTION("""COMPUTED_VALUE"""),"Воробьева")</f>
        <v>Воробьева</v>
      </c>
      <c r="C231" t="str">
        <f ca="1">IFERROR(__xludf.DUMMYFUNCTION("""COMPUTED_VALUE"""),"Анна")</f>
        <v>Анна</v>
      </c>
      <c r="D231" t="str">
        <f ca="1">IFERROR(__xludf.DUMMYFUNCTION("""COMPUTED_VALUE"""),"Школа 65")</f>
        <v>Школа 65</v>
      </c>
      <c r="E231" s="5">
        <f ca="1">IFERROR(__xludf.DUMMYFUNCTION("""COMPUTED_VALUE"""),2)</f>
        <v>2</v>
      </c>
      <c r="F231" s="5">
        <f ca="1">IFERROR(__xludf.DUMMYFUNCTION("""COMPUTED_VALUE"""),0)</f>
        <v>0</v>
      </c>
      <c r="G231" s="5">
        <f ca="1">IFERROR(__xludf.DUMMYFUNCTION("""COMPUTED_VALUE"""),4)</f>
        <v>4</v>
      </c>
      <c r="H231" s="5">
        <f ca="1">IFERROR(__xludf.DUMMYFUNCTION("""COMPUTED_VALUE"""),0)</f>
        <v>0</v>
      </c>
      <c r="I231" s="5">
        <f ca="1">IFERROR(__xludf.DUMMYFUNCTION("""COMPUTED_VALUE"""),0)</f>
        <v>0</v>
      </c>
      <c r="J231" s="5">
        <f ca="1">IFERROR(__xludf.DUMMYFUNCTION("""COMPUTED_VALUE"""),0)</f>
        <v>0</v>
      </c>
      <c r="K231" s="5">
        <f ca="1">IFERROR(__xludf.DUMMYFUNCTION("""COMPUTED_VALUE"""),0)</f>
        <v>0</v>
      </c>
      <c r="L231" s="5">
        <f ca="1">IFERROR(__xludf.DUMMYFUNCTION("""COMPUTED_VALUE"""),0)</f>
        <v>0</v>
      </c>
      <c r="M231">
        <f ca="1">IFERROR(__xludf.DUMMYFUNCTION("""COMPUTED_VALUE"""),6)</f>
        <v>6</v>
      </c>
      <c r="N231" s="8"/>
    </row>
    <row r="232" spans="1:14" ht="12.45" hidden="1">
      <c r="A232" t="str">
        <f ca="1">IFERROR(__xludf.DUMMYFUNCTION("""COMPUTED_VALUE"""),"III-2-098")</f>
        <v>III-2-098</v>
      </c>
      <c r="B232" t="str">
        <f ca="1">IFERROR(__xludf.DUMMYFUNCTION("""COMPUTED_VALUE"""),"Горбик")</f>
        <v>Горбик</v>
      </c>
      <c r="C232" t="str">
        <f ca="1">IFERROR(__xludf.DUMMYFUNCTION("""COMPUTED_VALUE"""),"София")</f>
        <v>София</v>
      </c>
      <c r="D232" t="str">
        <f ca="1">IFERROR(__xludf.DUMMYFUNCTION("""COMPUTED_VALUE"""),"Школа 348")</f>
        <v>Школа 348</v>
      </c>
      <c r="E232" s="5">
        <f ca="1">IFERROR(__xludf.DUMMYFUNCTION("""COMPUTED_VALUE"""),1)</f>
        <v>1</v>
      </c>
      <c r="F232" s="5">
        <f ca="1">IFERROR(__xludf.DUMMYFUNCTION("""COMPUTED_VALUE"""),0)</f>
        <v>0</v>
      </c>
      <c r="G232" s="5">
        <f ca="1">IFERROR(__xludf.DUMMYFUNCTION("""COMPUTED_VALUE"""),0)</f>
        <v>0</v>
      </c>
      <c r="H232" s="5">
        <f ca="1">IFERROR(__xludf.DUMMYFUNCTION("""COMPUTED_VALUE"""),3)</f>
        <v>3</v>
      </c>
      <c r="I232" s="5">
        <f ca="1">IFERROR(__xludf.DUMMYFUNCTION("""COMPUTED_VALUE"""),2)</f>
        <v>2</v>
      </c>
      <c r="J232" s="5">
        <f ca="1">IFERROR(__xludf.DUMMYFUNCTION("""COMPUTED_VALUE"""),0)</f>
        <v>0</v>
      </c>
      <c r="K232" s="5">
        <f ca="1">IFERROR(__xludf.DUMMYFUNCTION("""COMPUTED_VALUE"""),0)</f>
        <v>0</v>
      </c>
      <c r="L232" s="5">
        <f ca="1">IFERROR(__xludf.DUMMYFUNCTION("""COMPUTED_VALUE"""),0)</f>
        <v>0</v>
      </c>
      <c r="M232">
        <f ca="1">IFERROR(__xludf.DUMMYFUNCTION("""COMPUTED_VALUE"""),6)</f>
        <v>6</v>
      </c>
      <c r="N232" s="8"/>
    </row>
    <row r="233" spans="1:14" ht="12.45" hidden="1">
      <c r="A233" t="str">
        <f ca="1">IFERROR(__xludf.DUMMYFUNCTION("""COMPUTED_VALUE"""),"III-2-199")</f>
        <v>III-2-199</v>
      </c>
      <c r="B233" t="str">
        <f ca="1">IFERROR(__xludf.DUMMYFUNCTION("""COMPUTED_VALUE"""),"Кетов")</f>
        <v>Кетов</v>
      </c>
      <c r="C233" t="str">
        <f ca="1">IFERROR(__xludf.DUMMYFUNCTION("""COMPUTED_VALUE"""),"Артём")</f>
        <v>Артём</v>
      </c>
      <c r="D233" t="str">
        <f ca="1">IFERROR(__xludf.DUMMYFUNCTION("""COMPUTED_VALUE"""),"Лицей 470")</f>
        <v>Лицей 470</v>
      </c>
      <c r="E233" s="5">
        <f ca="1">IFERROR(__xludf.DUMMYFUNCTION("""COMPUTED_VALUE"""),1)</f>
        <v>1</v>
      </c>
      <c r="F233" s="5">
        <f ca="1">IFERROR(__xludf.DUMMYFUNCTION("""COMPUTED_VALUE"""),3)</f>
        <v>3</v>
      </c>
      <c r="G233" s="5">
        <f ca="1">IFERROR(__xludf.DUMMYFUNCTION("""COMPUTED_VALUE"""),2)</f>
        <v>2</v>
      </c>
      <c r="H233" s="5">
        <f ca="1">IFERROR(__xludf.DUMMYFUNCTION("""COMPUTED_VALUE"""),0)</f>
        <v>0</v>
      </c>
      <c r="I233" s="5">
        <f ca="1">IFERROR(__xludf.DUMMYFUNCTION("""COMPUTED_VALUE"""),0)</f>
        <v>0</v>
      </c>
      <c r="J233" s="5">
        <f ca="1">IFERROR(__xludf.DUMMYFUNCTION("""COMPUTED_VALUE"""),0)</f>
        <v>0</v>
      </c>
      <c r="K233" s="5">
        <f ca="1">IFERROR(__xludf.DUMMYFUNCTION("""COMPUTED_VALUE"""),0)</f>
        <v>0</v>
      </c>
      <c r="L233" s="5">
        <f ca="1">IFERROR(__xludf.DUMMYFUNCTION("""COMPUTED_VALUE"""),0)</f>
        <v>0</v>
      </c>
      <c r="M233">
        <f ca="1">IFERROR(__xludf.DUMMYFUNCTION("""COMPUTED_VALUE"""),6)</f>
        <v>6</v>
      </c>
      <c r="N233" s="8"/>
    </row>
    <row r="234" spans="1:14" ht="12.45" hidden="1">
      <c r="A234" t="str">
        <f ca="1">IFERROR(__xludf.DUMMYFUNCTION("""COMPUTED_VALUE"""),"V-2-262")</f>
        <v>V-2-262</v>
      </c>
      <c r="B234" t="str">
        <f ca="1">IFERROR(__xludf.DUMMYFUNCTION("""COMPUTED_VALUE"""),"Лысова")</f>
        <v>Лысова</v>
      </c>
      <c r="C234" t="str">
        <f ca="1">IFERROR(__xludf.DUMMYFUNCTION("""COMPUTED_VALUE"""),"Василиса")</f>
        <v>Василиса</v>
      </c>
      <c r="D234" t="str">
        <f ca="1">IFERROR(__xludf.DUMMYFUNCTION("""COMPUTED_VALUE"""),"Школа 577")</f>
        <v>Школа 577</v>
      </c>
      <c r="E234" s="5">
        <f ca="1">IFERROR(__xludf.DUMMYFUNCTION("""COMPUTED_VALUE"""),3)</f>
        <v>3</v>
      </c>
      <c r="F234" s="5">
        <f ca="1">IFERROR(__xludf.DUMMYFUNCTION("""COMPUTED_VALUE"""),1)</f>
        <v>1</v>
      </c>
      <c r="G234" s="5">
        <f ca="1">IFERROR(__xludf.DUMMYFUNCTION("""COMPUTED_VALUE"""),2)</f>
        <v>2</v>
      </c>
      <c r="H234" s="5">
        <f ca="1">IFERROR(__xludf.DUMMYFUNCTION("""COMPUTED_VALUE"""),0)</f>
        <v>0</v>
      </c>
      <c r="I234" s="5">
        <f ca="1">IFERROR(__xludf.DUMMYFUNCTION("""COMPUTED_VALUE"""),0)</f>
        <v>0</v>
      </c>
      <c r="J234" s="5">
        <f ca="1">IFERROR(__xludf.DUMMYFUNCTION("""COMPUTED_VALUE"""),0)</f>
        <v>0</v>
      </c>
      <c r="K234" s="5">
        <f ca="1">IFERROR(__xludf.DUMMYFUNCTION("""COMPUTED_VALUE"""),0)</f>
        <v>0</v>
      </c>
      <c r="L234" s="5">
        <f ca="1">IFERROR(__xludf.DUMMYFUNCTION("""COMPUTED_VALUE"""),0)</f>
        <v>0</v>
      </c>
      <c r="M234">
        <f ca="1">IFERROR(__xludf.DUMMYFUNCTION("""COMPUTED_VALUE"""),6)</f>
        <v>6</v>
      </c>
      <c r="N234" s="8"/>
    </row>
    <row r="235" spans="1:14" ht="12.45" hidden="1">
      <c r="A235" t="str">
        <f ca="1">IFERROR(__xludf.DUMMYFUNCTION("""COMPUTED_VALUE"""),"V-2-475")</f>
        <v>V-2-475</v>
      </c>
      <c r="B235" t="str">
        <f ca="1">IFERROR(__xludf.DUMMYFUNCTION("""COMPUTED_VALUE"""),"Эркенов")</f>
        <v>Эркенов</v>
      </c>
      <c r="C235" t="str">
        <f ca="1">IFERROR(__xludf.DUMMYFUNCTION("""COMPUTED_VALUE"""),"Алан")</f>
        <v>Алан</v>
      </c>
      <c r="D235" t="str">
        <f ca="1">IFERROR(__xludf.DUMMYFUNCTION("""COMPUTED_VALUE"""),"Гимназия 271")</f>
        <v>Гимназия 271</v>
      </c>
      <c r="E235" s="5">
        <f ca="1">IFERROR(__xludf.DUMMYFUNCTION("""COMPUTED_VALUE"""),0)</f>
        <v>0</v>
      </c>
      <c r="F235" s="5">
        <f ca="1">IFERROR(__xludf.DUMMYFUNCTION("""COMPUTED_VALUE"""),0)</f>
        <v>0</v>
      </c>
      <c r="G235" s="5">
        <f ca="1">IFERROR(__xludf.DUMMYFUNCTION("""COMPUTED_VALUE"""),0)</f>
        <v>0</v>
      </c>
      <c r="H235" s="5">
        <f ca="1">IFERROR(__xludf.DUMMYFUNCTION("""COMPUTED_VALUE"""),0)</f>
        <v>0</v>
      </c>
      <c r="I235" s="5">
        <f ca="1">IFERROR(__xludf.DUMMYFUNCTION("""COMPUTED_VALUE"""),3)</f>
        <v>3</v>
      </c>
      <c r="J235" s="5">
        <f ca="1">IFERROR(__xludf.DUMMYFUNCTION("""COMPUTED_VALUE"""),2)</f>
        <v>2</v>
      </c>
      <c r="K235" s="5">
        <f ca="1">IFERROR(__xludf.DUMMYFUNCTION("""COMPUTED_VALUE"""),0)</f>
        <v>0</v>
      </c>
      <c r="L235" s="5">
        <f ca="1">IFERROR(__xludf.DUMMYFUNCTION("""COMPUTED_VALUE"""),0)</f>
        <v>0</v>
      </c>
      <c r="M235">
        <f ca="1">IFERROR(__xludf.DUMMYFUNCTION("""COMPUTED_VALUE"""),5)</f>
        <v>5</v>
      </c>
      <c r="N235" s="8"/>
    </row>
    <row r="236" spans="1:14" ht="12.45" hidden="1">
      <c r="A236" t="str">
        <f ca="1">IFERROR(__xludf.DUMMYFUNCTION("""COMPUTED_VALUE"""),"V-2-266")</f>
        <v>V-2-266</v>
      </c>
      <c r="B236" t="str">
        <f ca="1">IFERROR(__xludf.DUMMYFUNCTION("""COMPUTED_VALUE"""),"Максимова")</f>
        <v>Максимова</v>
      </c>
      <c r="C236" t="str">
        <f ca="1">IFERROR(__xludf.DUMMYFUNCTION("""COMPUTED_VALUE"""),"Надежда")</f>
        <v>Надежда</v>
      </c>
      <c r="D236" t="str">
        <f ca="1">IFERROR(__xludf.DUMMYFUNCTION("""COMPUTED_VALUE"""),"Гимназия 540")</f>
        <v>Гимназия 540</v>
      </c>
      <c r="E236" s="5">
        <f ca="1">IFERROR(__xludf.DUMMYFUNCTION("""COMPUTED_VALUE"""),3)</f>
        <v>3</v>
      </c>
      <c r="F236" s="5">
        <f ca="1">IFERROR(__xludf.DUMMYFUNCTION("""COMPUTED_VALUE"""),0)</f>
        <v>0</v>
      </c>
      <c r="G236" s="5">
        <f ca="1">IFERROR(__xludf.DUMMYFUNCTION("""COMPUTED_VALUE"""),0)</f>
        <v>0</v>
      </c>
      <c r="H236" s="5">
        <f ca="1">IFERROR(__xludf.DUMMYFUNCTION("""COMPUTED_VALUE"""),0)</f>
        <v>0</v>
      </c>
      <c r="I236" s="5">
        <f ca="1">IFERROR(__xludf.DUMMYFUNCTION("""COMPUTED_VALUE"""),0)</f>
        <v>0</v>
      </c>
      <c r="J236" s="5">
        <f ca="1">IFERROR(__xludf.DUMMYFUNCTION("""COMPUTED_VALUE"""),2)</f>
        <v>2</v>
      </c>
      <c r="K236" s="5">
        <f ca="1">IFERROR(__xludf.DUMMYFUNCTION("""COMPUTED_VALUE"""),0)</f>
        <v>0</v>
      </c>
      <c r="L236" s="5">
        <f ca="1">IFERROR(__xludf.DUMMYFUNCTION("""COMPUTED_VALUE"""),0)</f>
        <v>0</v>
      </c>
      <c r="M236">
        <f ca="1">IFERROR(__xludf.DUMMYFUNCTION("""COMPUTED_VALUE"""),5)</f>
        <v>5</v>
      </c>
      <c r="N236" s="8"/>
    </row>
    <row r="237" spans="1:14" ht="12.45" hidden="1">
      <c r="A237" t="str">
        <f ca="1">IFERROR(__xludf.DUMMYFUNCTION("""COMPUTED_VALUE"""),"III-2-232")</f>
        <v>III-2-232</v>
      </c>
      <c r="B237" t="str">
        <f ca="1">IFERROR(__xludf.DUMMYFUNCTION("""COMPUTED_VALUE"""),"Кузнецов")</f>
        <v>Кузнецов</v>
      </c>
      <c r="C237" t="str">
        <f ca="1">IFERROR(__xludf.DUMMYFUNCTION("""COMPUTED_VALUE"""),"Юрий")</f>
        <v>Юрий</v>
      </c>
      <c r="D237" t="str">
        <f ca="1">IFERROR(__xludf.DUMMYFUNCTION("""COMPUTED_VALUE"""),"Гимназия 271")</f>
        <v>Гимназия 271</v>
      </c>
      <c r="E237" s="5">
        <f ca="1">IFERROR(__xludf.DUMMYFUNCTION("""COMPUTED_VALUE"""),0)</f>
        <v>0</v>
      </c>
      <c r="F237" s="5">
        <f ca="1">IFERROR(__xludf.DUMMYFUNCTION("""COMPUTED_VALUE"""),0)</f>
        <v>0</v>
      </c>
      <c r="G237" s="5">
        <f ca="1">IFERROR(__xludf.DUMMYFUNCTION("""COMPUTED_VALUE"""),4)</f>
        <v>4</v>
      </c>
      <c r="H237" s="5">
        <f ca="1">IFERROR(__xludf.DUMMYFUNCTION("""COMPUTED_VALUE"""),0)</f>
        <v>0</v>
      </c>
      <c r="I237" s="5">
        <f ca="1">IFERROR(__xludf.DUMMYFUNCTION("""COMPUTED_VALUE"""),1)</f>
        <v>1</v>
      </c>
      <c r="J237" s="5">
        <f ca="1">IFERROR(__xludf.DUMMYFUNCTION("""COMPUTED_VALUE"""),0)</f>
        <v>0</v>
      </c>
      <c r="K237" s="5">
        <f ca="1">IFERROR(__xludf.DUMMYFUNCTION("""COMPUTED_VALUE"""),0)</f>
        <v>0</v>
      </c>
      <c r="L237" s="5">
        <f ca="1">IFERROR(__xludf.DUMMYFUNCTION("""COMPUTED_VALUE"""),0)</f>
        <v>0</v>
      </c>
      <c r="M237">
        <f ca="1">IFERROR(__xludf.DUMMYFUNCTION("""COMPUTED_VALUE"""),5)</f>
        <v>5</v>
      </c>
      <c r="N237" s="8"/>
    </row>
    <row r="238" spans="1:14" ht="12.45" hidden="1">
      <c r="A238" t="str">
        <f ca="1">IFERROR(__xludf.DUMMYFUNCTION("""COMPUTED_VALUE"""),"III-2-045")</f>
        <v>III-2-045</v>
      </c>
      <c r="B238" t="str">
        <f ca="1">IFERROR(__xludf.DUMMYFUNCTION("""COMPUTED_VALUE"""),"Березин")</f>
        <v>Березин</v>
      </c>
      <c r="C238" t="str">
        <f ca="1">IFERROR(__xludf.DUMMYFUNCTION("""COMPUTED_VALUE"""),"Арсен")</f>
        <v>Арсен</v>
      </c>
      <c r="D238" t="str">
        <f ca="1">IFERROR(__xludf.DUMMYFUNCTION("""COMPUTED_VALUE"""),"Школа Кудровская средняя общеобразовательная школа 1")</f>
        <v>Школа Кудровская средняя общеобразовательная школа 1</v>
      </c>
      <c r="E238" s="5">
        <f ca="1">IFERROR(__xludf.DUMMYFUNCTION("""COMPUTED_VALUE"""),1)</f>
        <v>1</v>
      </c>
      <c r="F238" s="5">
        <f ca="1">IFERROR(__xludf.DUMMYFUNCTION("""COMPUTED_VALUE"""),0)</f>
        <v>0</v>
      </c>
      <c r="G238" s="5">
        <f ca="1">IFERROR(__xludf.DUMMYFUNCTION("""COMPUTED_VALUE"""),4)</f>
        <v>4</v>
      </c>
      <c r="H238" s="5">
        <f ca="1">IFERROR(__xludf.DUMMYFUNCTION("""COMPUTED_VALUE"""),0)</f>
        <v>0</v>
      </c>
      <c r="I238" s="5">
        <f ca="1">IFERROR(__xludf.DUMMYFUNCTION("""COMPUTED_VALUE"""),0)</f>
        <v>0</v>
      </c>
      <c r="J238" s="5">
        <f ca="1">IFERROR(__xludf.DUMMYFUNCTION("""COMPUTED_VALUE"""),0)</f>
        <v>0</v>
      </c>
      <c r="K238" s="5">
        <f ca="1">IFERROR(__xludf.DUMMYFUNCTION("""COMPUTED_VALUE"""),0)</f>
        <v>0</v>
      </c>
      <c r="L238" s="5">
        <f ca="1">IFERROR(__xludf.DUMMYFUNCTION("""COMPUTED_VALUE"""),0)</f>
        <v>0</v>
      </c>
      <c r="M238">
        <f ca="1">IFERROR(__xludf.DUMMYFUNCTION("""COMPUTED_VALUE"""),5)</f>
        <v>5</v>
      </c>
      <c r="N238" s="8"/>
    </row>
    <row r="239" spans="1:14" ht="12.45" hidden="1">
      <c r="A239" t="str">
        <f ca="1">IFERROR(__xludf.DUMMYFUNCTION("""COMPUTED_VALUE"""),"III-2-044")</f>
        <v>III-2-044</v>
      </c>
      <c r="B239" t="str">
        <f ca="1">IFERROR(__xludf.DUMMYFUNCTION("""COMPUTED_VALUE"""),"Бережная")</f>
        <v>Бережная</v>
      </c>
      <c r="C239" t="str">
        <f ca="1">IFERROR(__xludf.DUMMYFUNCTION("""COMPUTED_VALUE"""),"Анастасия")</f>
        <v>Анастасия</v>
      </c>
      <c r="D239" t="str">
        <f ca="1">IFERROR(__xludf.DUMMYFUNCTION("""COMPUTED_VALUE"""),"Гимназия 642")</f>
        <v>Гимназия 642</v>
      </c>
      <c r="E239" s="5">
        <f ca="1">IFERROR(__xludf.DUMMYFUNCTION("""COMPUTED_VALUE"""),1)</f>
        <v>1</v>
      </c>
      <c r="F239" s="5">
        <f ca="1">IFERROR(__xludf.DUMMYFUNCTION("""COMPUTED_VALUE"""),0)</f>
        <v>0</v>
      </c>
      <c r="G239" s="5">
        <f ca="1">IFERROR(__xludf.DUMMYFUNCTION("""COMPUTED_VALUE"""),4)</f>
        <v>4</v>
      </c>
      <c r="H239" s="5">
        <f ca="1">IFERROR(__xludf.DUMMYFUNCTION("""COMPUTED_VALUE"""),0)</f>
        <v>0</v>
      </c>
      <c r="I239" s="5">
        <f ca="1">IFERROR(__xludf.DUMMYFUNCTION("""COMPUTED_VALUE"""),0)</f>
        <v>0</v>
      </c>
      <c r="J239" s="5">
        <f ca="1">IFERROR(__xludf.DUMMYFUNCTION("""COMPUTED_VALUE"""),0)</f>
        <v>0</v>
      </c>
      <c r="K239" s="5">
        <f ca="1">IFERROR(__xludf.DUMMYFUNCTION("""COMPUTED_VALUE"""),0)</f>
        <v>0</v>
      </c>
      <c r="L239" s="5">
        <f ca="1">IFERROR(__xludf.DUMMYFUNCTION("""COMPUTED_VALUE"""),0)</f>
        <v>0</v>
      </c>
      <c r="M239">
        <f ca="1">IFERROR(__xludf.DUMMYFUNCTION("""COMPUTED_VALUE"""),5)</f>
        <v>5</v>
      </c>
      <c r="N239" s="8"/>
    </row>
    <row r="240" spans="1:14" ht="12.45" hidden="1">
      <c r="A240" t="str">
        <f ca="1">IFERROR(__xludf.DUMMYFUNCTION("""COMPUTED_VALUE"""),"V-2-362")</f>
        <v>V-2-362</v>
      </c>
      <c r="B240" t="str">
        <f ca="1">IFERROR(__xludf.DUMMYFUNCTION("""COMPUTED_VALUE"""),"Рудина")</f>
        <v>Рудина</v>
      </c>
      <c r="C240" t="str">
        <f ca="1">IFERROR(__xludf.DUMMYFUNCTION("""COMPUTED_VALUE"""),"Светлана")</f>
        <v>Светлана</v>
      </c>
      <c r="D240" t="str">
        <f ca="1">IFERROR(__xludf.DUMMYFUNCTION("""COMPUTED_VALUE"""),"Школа 328")</f>
        <v>Школа 328</v>
      </c>
      <c r="E240" s="5">
        <f ca="1">IFERROR(__xludf.DUMMYFUNCTION("""COMPUTED_VALUE"""),1)</f>
        <v>1</v>
      </c>
      <c r="F240" s="5">
        <f ca="1">IFERROR(__xludf.DUMMYFUNCTION("""COMPUTED_VALUE"""),0)</f>
        <v>0</v>
      </c>
      <c r="G240" s="5">
        <f ca="1">IFERROR(__xludf.DUMMYFUNCTION("""COMPUTED_VALUE"""),4)</f>
        <v>4</v>
      </c>
      <c r="H240" s="5">
        <f ca="1">IFERROR(__xludf.DUMMYFUNCTION("""COMPUTED_VALUE"""),0)</f>
        <v>0</v>
      </c>
      <c r="I240" s="5">
        <f ca="1">IFERROR(__xludf.DUMMYFUNCTION("""COMPUTED_VALUE"""),0)</f>
        <v>0</v>
      </c>
      <c r="J240" s="5">
        <f ca="1">IFERROR(__xludf.DUMMYFUNCTION("""COMPUTED_VALUE"""),0)</f>
        <v>0</v>
      </c>
      <c r="K240" s="5">
        <f ca="1">IFERROR(__xludf.DUMMYFUNCTION("""COMPUTED_VALUE"""),0)</f>
        <v>0</v>
      </c>
      <c r="L240" s="5">
        <f ca="1">IFERROR(__xludf.DUMMYFUNCTION("""COMPUTED_VALUE"""),0)</f>
        <v>0</v>
      </c>
      <c r="M240">
        <f ca="1">IFERROR(__xludf.DUMMYFUNCTION("""COMPUTED_VALUE"""),5)</f>
        <v>5</v>
      </c>
      <c r="N240" s="8"/>
    </row>
    <row r="241" spans="1:14" ht="12.45" hidden="1">
      <c r="A241" t="str">
        <f ca="1">IFERROR(__xludf.DUMMYFUNCTION("""COMPUTED_VALUE"""),"III-2-153")</f>
        <v>III-2-153</v>
      </c>
      <c r="B241" t="str">
        <f ca="1">IFERROR(__xludf.DUMMYFUNCTION("""COMPUTED_VALUE"""),"Ермилов")</f>
        <v>Ермилов</v>
      </c>
      <c r="C241" t="str">
        <f ca="1">IFERROR(__xludf.DUMMYFUNCTION("""COMPUTED_VALUE"""),"Арсений")</f>
        <v>Арсений</v>
      </c>
      <c r="D241" t="str">
        <f ca="1">IFERROR(__xludf.DUMMYFUNCTION("""COMPUTED_VALUE"""),"Школа 145")</f>
        <v>Школа 145</v>
      </c>
      <c r="E241" s="5">
        <f ca="1">IFERROR(__xludf.DUMMYFUNCTION("""COMPUTED_VALUE"""),1)</f>
        <v>1</v>
      </c>
      <c r="F241" s="5">
        <f ca="1">IFERROR(__xludf.DUMMYFUNCTION("""COMPUTED_VALUE"""),0)</f>
        <v>0</v>
      </c>
      <c r="G241" s="5">
        <f ca="1">IFERROR(__xludf.DUMMYFUNCTION("""COMPUTED_VALUE"""),4)</f>
        <v>4</v>
      </c>
      <c r="H241" s="5">
        <f ca="1">IFERROR(__xludf.DUMMYFUNCTION("""COMPUTED_VALUE"""),0)</f>
        <v>0</v>
      </c>
      <c r="I241" s="5">
        <f ca="1">IFERROR(__xludf.DUMMYFUNCTION("""COMPUTED_VALUE"""),0)</f>
        <v>0</v>
      </c>
      <c r="J241" s="5">
        <f ca="1">IFERROR(__xludf.DUMMYFUNCTION("""COMPUTED_VALUE"""),0)</f>
        <v>0</v>
      </c>
      <c r="K241" s="5">
        <f ca="1">IFERROR(__xludf.DUMMYFUNCTION("""COMPUTED_VALUE"""),0)</f>
        <v>0</v>
      </c>
      <c r="L241" s="5">
        <f ca="1">IFERROR(__xludf.DUMMYFUNCTION("""COMPUTED_VALUE"""),0)</f>
        <v>0</v>
      </c>
      <c r="M241">
        <f ca="1">IFERROR(__xludf.DUMMYFUNCTION("""COMPUTED_VALUE"""),5)</f>
        <v>5</v>
      </c>
      <c r="N241" s="8"/>
    </row>
    <row r="242" spans="1:14" ht="12.45" hidden="1">
      <c r="A242" t="str">
        <f ca="1">IFERROR(__xludf.DUMMYFUNCTION("""COMPUTED_VALUE"""),"III-2-024")</f>
        <v>III-2-024</v>
      </c>
      <c r="B242" t="str">
        <f ca="1">IFERROR(__xludf.DUMMYFUNCTION("""COMPUTED_VALUE"""),"Афонин")</f>
        <v>Афонин</v>
      </c>
      <c r="C242" t="str">
        <f ca="1">IFERROR(__xludf.DUMMYFUNCTION("""COMPUTED_VALUE"""),"Василий")</f>
        <v>Василий</v>
      </c>
      <c r="D242" t="str">
        <f ca="1">IFERROR(__xludf.DUMMYFUNCTION("""COMPUTED_VALUE"""),"Гимназия 271")</f>
        <v>Гимназия 271</v>
      </c>
      <c r="E242" s="5">
        <f ca="1">IFERROR(__xludf.DUMMYFUNCTION("""COMPUTED_VALUE"""),1)</f>
        <v>1</v>
      </c>
      <c r="F242" s="5">
        <f ca="1">IFERROR(__xludf.DUMMYFUNCTION("""COMPUTED_VALUE"""),0)</f>
        <v>0</v>
      </c>
      <c r="G242" s="5">
        <f ca="1">IFERROR(__xludf.DUMMYFUNCTION("""COMPUTED_VALUE"""),4)</f>
        <v>4</v>
      </c>
      <c r="H242" s="5">
        <f ca="1">IFERROR(__xludf.DUMMYFUNCTION("""COMPUTED_VALUE"""),0)</f>
        <v>0</v>
      </c>
      <c r="I242" s="5">
        <f ca="1">IFERROR(__xludf.DUMMYFUNCTION("""COMPUTED_VALUE"""),0)</f>
        <v>0</v>
      </c>
      <c r="J242" s="5">
        <f ca="1">IFERROR(__xludf.DUMMYFUNCTION("""COMPUTED_VALUE"""),0)</f>
        <v>0</v>
      </c>
      <c r="K242" s="5">
        <f ca="1">IFERROR(__xludf.DUMMYFUNCTION("""COMPUTED_VALUE"""),0)</f>
        <v>0</v>
      </c>
      <c r="L242" s="5">
        <f ca="1">IFERROR(__xludf.DUMMYFUNCTION("""COMPUTED_VALUE"""),0)</f>
        <v>0</v>
      </c>
      <c r="M242">
        <f ca="1">IFERROR(__xludf.DUMMYFUNCTION("""COMPUTED_VALUE"""),5)</f>
        <v>5</v>
      </c>
      <c r="N242" s="8"/>
    </row>
    <row r="243" spans="1:14" ht="12.45" hidden="1">
      <c r="A243" t="str">
        <f ca="1">IFERROR(__xludf.DUMMYFUNCTION("""COMPUTED_VALUE"""),"V-2-346")</f>
        <v>V-2-346</v>
      </c>
      <c r="B243" t="str">
        <f ca="1">IFERROR(__xludf.DUMMYFUNCTION("""COMPUTED_VALUE"""),"Попова")</f>
        <v>Попова</v>
      </c>
      <c r="C243" t="str">
        <f ca="1">IFERROR(__xludf.DUMMYFUNCTION("""COMPUTED_VALUE"""),"Стефания")</f>
        <v>Стефания</v>
      </c>
      <c r="D243" t="str">
        <f ca="1">IFERROR(__xludf.DUMMYFUNCTION("""COMPUTED_VALUE"""),"Школа 598")</f>
        <v>Школа 598</v>
      </c>
      <c r="E243" s="5">
        <f ca="1">IFERROR(__xludf.DUMMYFUNCTION("""COMPUTED_VALUE"""),3)</f>
        <v>3</v>
      </c>
      <c r="F243" s="5">
        <f ca="1">IFERROR(__xludf.DUMMYFUNCTION("""COMPUTED_VALUE"""),0)</f>
        <v>0</v>
      </c>
      <c r="G243" s="5">
        <f ca="1">IFERROR(__xludf.DUMMYFUNCTION("""COMPUTED_VALUE"""),2)</f>
        <v>2</v>
      </c>
      <c r="H243" s="5">
        <f ca="1">IFERROR(__xludf.DUMMYFUNCTION("""COMPUTED_VALUE"""),0)</f>
        <v>0</v>
      </c>
      <c r="I243" s="5">
        <f ca="1">IFERROR(__xludf.DUMMYFUNCTION("""COMPUTED_VALUE"""),0)</f>
        <v>0</v>
      </c>
      <c r="J243" s="5">
        <f ca="1">IFERROR(__xludf.DUMMYFUNCTION("""COMPUTED_VALUE"""),0)</f>
        <v>0</v>
      </c>
      <c r="K243" s="5">
        <f ca="1">IFERROR(__xludf.DUMMYFUNCTION("""COMPUTED_VALUE"""),0)</f>
        <v>0</v>
      </c>
      <c r="L243" s="5">
        <f ca="1">IFERROR(__xludf.DUMMYFUNCTION("""COMPUTED_VALUE"""),0)</f>
        <v>0</v>
      </c>
      <c r="M243">
        <f ca="1">IFERROR(__xludf.DUMMYFUNCTION("""COMPUTED_VALUE"""),5)</f>
        <v>5</v>
      </c>
      <c r="N243" s="8"/>
    </row>
    <row r="244" spans="1:14" ht="12.45" hidden="1">
      <c r="A244" t="str">
        <f ca="1">IFERROR(__xludf.DUMMYFUNCTION("""COMPUTED_VALUE"""),"V-2-366")</f>
        <v>V-2-366</v>
      </c>
      <c r="B244" t="str">
        <f ca="1">IFERROR(__xludf.DUMMYFUNCTION("""COMPUTED_VALUE"""),"Савва")</f>
        <v>Савва</v>
      </c>
      <c r="C244" t="str">
        <f ca="1">IFERROR(__xludf.DUMMYFUNCTION("""COMPUTED_VALUE"""),"Фёдор")</f>
        <v>Фёдор</v>
      </c>
      <c r="D244" t="str">
        <f ca="1">IFERROR(__xludf.DUMMYFUNCTION("""COMPUTED_VALUE"""),"Школа 113")</f>
        <v>Школа 113</v>
      </c>
      <c r="E244" s="5">
        <f ca="1">IFERROR(__xludf.DUMMYFUNCTION("""COMPUTED_VALUE"""),3)</f>
        <v>3</v>
      </c>
      <c r="F244" s="5">
        <f ca="1">IFERROR(__xludf.DUMMYFUNCTION("""COMPUTED_VALUE"""),0)</f>
        <v>0</v>
      </c>
      <c r="G244" s="5">
        <f ca="1">IFERROR(__xludf.DUMMYFUNCTION("""COMPUTED_VALUE"""),2)</f>
        <v>2</v>
      </c>
      <c r="H244" s="5">
        <f ca="1">IFERROR(__xludf.DUMMYFUNCTION("""COMPUTED_VALUE"""),0)</f>
        <v>0</v>
      </c>
      <c r="I244" s="5">
        <f ca="1">IFERROR(__xludf.DUMMYFUNCTION("""COMPUTED_VALUE"""),0)</f>
        <v>0</v>
      </c>
      <c r="J244" s="5">
        <f ca="1">IFERROR(__xludf.DUMMYFUNCTION("""COMPUTED_VALUE"""),0)</f>
        <v>0</v>
      </c>
      <c r="K244" s="5">
        <f ca="1">IFERROR(__xludf.DUMMYFUNCTION("""COMPUTED_VALUE"""),0)</f>
        <v>0</v>
      </c>
      <c r="L244" s="5">
        <f ca="1">IFERROR(__xludf.DUMMYFUNCTION("""COMPUTED_VALUE"""),0)</f>
        <v>0</v>
      </c>
      <c r="M244">
        <f ca="1">IFERROR(__xludf.DUMMYFUNCTION("""COMPUTED_VALUE"""),5)</f>
        <v>5</v>
      </c>
      <c r="N244" s="8"/>
    </row>
    <row r="245" spans="1:14" ht="12.45" hidden="1">
      <c r="A245" t="str">
        <f ca="1">IFERROR(__xludf.DUMMYFUNCTION("""COMPUTED_VALUE"""),"V-2-372")</f>
        <v>V-2-372</v>
      </c>
      <c r="B245" t="str">
        <f ca="1">IFERROR(__xludf.DUMMYFUNCTION("""COMPUTED_VALUE"""),"Сальманова")</f>
        <v>Сальманова</v>
      </c>
      <c r="C245" t="str">
        <f ca="1">IFERROR(__xludf.DUMMYFUNCTION("""COMPUTED_VALUE"""),"Яна")</f>
        <v>Яна</v>
      </c>
      <c r="D245" t="str">
        <f ca="1">IFERROR(__xludf.DUMMYFUNCTION("""COMPUTED_VALUE"""),"Школа 581")</f>
        <v>Школа 581</v>
      </c>
      <c r="E245" s="5">
        <f ca="1">IFERROR(__xludf.DUMMYFUNCTION("""COMPUTED_VALUE"""),1)</f>
        <v>1</v>
      </c>
      <c r="F245" s="5">
        <f ca="1">IFERROR(__xludf.DUMMYFUNCTION("""COMPUTED_VALUE"""),4)</f>
        <v>4</v>
      </c>
      <c r="G245" s="5">
        <f ca="1">IFERROR(__xludf.DUMMYFUNCTION("""COMPUTED_VALUE"""),0)</f>
        <v>0</v>
      </c>
      <c r="H245" s="5">
        <f ca="1">IFERROR(__xludf.DUMMYFUNCTION("""COMPUTED_VALUE"""),0)</f>
        <v>0</v>
      </c>
      <c r="I245" s="5">
        <f ca="1">IFERROR(__xludf.DUMMYFUNCTION("""COMPUTED_VALUE"""),0)</f>
        <v>0</v>
      </c>
      <c r="J245" s="5">
        <f ca="1">IFERROR(__xludf.DUMMYFUNCTION("""COMPUTED_VALUE"""),0)</f>
        <v>0</v>
      </c>
      <c r="K245" s="5">
        <f ca="1">IFERROR(__xludf.DUMMYFUNCTION("""COMPUTED_VALUE"""),0)</f>
        <v>0</v>
      </c>
      <c r="L245" s="5">
        <f ca="1">IFERROR(__xludf.DUMMYFUNCTION("""COMPUTED_VALUE"""),0)</f>
        <v>0</v>
      </c>
      <c r="M245">
        <f ca="1">IFERROR(__xludf.DUMMYFUNCTION("""COMPUTED_VALUE"""),5)</f>
        <v>5</v>
      </c>
      <c r="N245" s="8"/>
    </row>
    <row r="246" spans="1:14" ht="12.45" hidden="1">
      <c r="A246" t="str">
        <f ca="1">IFERROR(__xludf.DUMMYFUNCTION("""COMPUTED_VALUE"""),"III-2-085")</f>
        <v>III-2-085</v>
      </c>
      <c r="B246" t="str">
        <f ca="1">IFERROR(__xludf.DUMMYFUNCTION("""COMPUTED_VALUE"""),"Вуколов")</f>
        <v>Вуколов</v>
      </c>
      <c r="C246" t="str">
        <f ca="1">IFERROR(__xludf.DUMMYFUNCTION("""COMPUTED_VALUE"""),"Михаил")</f>
        <v>Михаил</v>
      </c>
      <c r="D246" t="str">
        <f ca="1">IFERROR(__xludf.DUMMYFUNCTION("""COMPUTED_VALUE"""),"Школа 655")</f>
        <v>Школа 655</v>
      </c>
      <c r="E246" s="5">
        <f ca="1">IFERROR(__xludf.DUMMYFUNCTION("""COMPUTED_VALUE"""),1)</f>
        <v>1</v>
      </c>
      <c r="F246" s="5">
        <f ca="1">IFERROR(__xludf.DUMMYFUNCTION("""COMPUTED_VALUE"""),4)</f>
        <v>4</v>
      </c>
      <c r="G246" s="5">
        <f ca="1">IFERROR(__xludf.DUMMYFUNCTION("""COMPUTED_VALUE"""),0)</f>
        <v>0</v>
      </c>
      <c r="H246" s="5">
        <f ca="1">IFERROR(__xludf.DUMMYFUNCTION("""COMPUTED_VALUE"""),0)</f>
        <v>0</v>
      </c>
      <c r="I246" s="5">
        <f ca="1">IFERROR(__xludf.DUMMYFUNCTION("""COMPUTED_VALUE"""),0)</f>
        <v>0</v>
      </c>
      <c r="J246" s="5">
        <f ca="1">IFERROR(__xludf.DUMMYFUNCTION("""COMPUTED_VALUE"""),0)</f>
        <v>0</v>
      </c>
      <c r="K246" s="5">
        <f ca="1">IFERROR(__xludf.DUMMYFUNCTION("""COMPUTED_VALUE"""),0)</f>
        <v>0</v>
      </c>
      <c r="L246" s="5">
        <f ca="1">IFERROR(__xludf.DUMMYFUNCTION("""COMPUTED_VALUE"""),0)</f>
        <v>0</v>
      </c>
      <c r="M246">
        <f ca="1">IFERROR(__xludf.DUMMYFUNCTION("""COMPUTED_VALUE"""),5)</f>
        <v>5</v>
      </c>
      <c r="N246" s="8"/>
    </row>
    <row r="247" spans="1:14" ht="12.45" hidden="1">
      <c r="A247" t="str">
        <f ca="1">IFERROR(__xludf.DUMMYFUNCTION("""COMPUTED_VALUE"""),"V-2-474")</f>
        <v>V-2-474</v>
      </c>
      <c r="B247" t="str">
        <f ca="1">IFERROR(__xludf.DUMMYFUNCTION("""COMPUTED_VALUE"""),"Щербаков")</f>
        <v>Щербаков</v>
      </c>
      <c r="C247" t="str">
        <f ca="1">IFERROR(__xludf.DUMMYFUNCTION("""COMPUTED_VALUE"""),"Глеб")</f>
        <v>Глеб</v>
      </c>
      <c r="D247" t="str">
        <f ca="1">IFERROR(__xludf.DUMMYFUNCTION("""COMPUTED_VALUE"""),"Лицей 344")</f>
        <v>Лицей 344</v>
      </c>
      <c r="E247" s="5">
        <f ca="1">IFERROR(__xludf.DUMMYFUNCTION("""COMPUTED_VALUE"""),1)</f>
        <v>1</v>
      </c>
      <c r="F247" s="5">
        <f ca="1">IFERROR(__xludf.DUMMYFUNCTION("""COMPUTED_VALUE"""),0)</f>
        <v>0</v>
      </c>
      <c r="G247" s="5">
        <f ca="1">IFERROR(__xludf.DUMMYFUNCTION("""COMPUTED_VALUE"""),0)</f>
        <v>0</v>
      </c>
      <c r="H247" s="5">
        <f ca="1">IFERROR(__xludf.DUMMYFUNCTION("""COMPUTED_VALUE"""),0)</f>
        <v>0</v>
      </c>
      <c r="I247" s="5">
        <f ca="1">IFERROR(__xludf.DUMMYFUNCTION("""COMPUTED_VALUE"""),1)</f>
        <v>1</v>
      </c>
      <c r="J247" s="5">
        <f ca="1">IFERROR(__xludf.DUMMYFUNCTION("""COMPUTED_VALUE"""),2)</f>
        <v>2</v>
      </c>
      <c r="K247" s="5">
        <f ca="1">IFERROR(__xludf.DUMMYFUNCTION("""COMPUTED_VALUE"""),0)</f>
        <v>0</v>
      </c>
      <c r="L247" s="5">
        <f ca="1">IFERROR(__xludf.DUMMYFUNCTION("""COMPUTED_VALUE"""),0)</f>
        <v>0</v>
      </c>
      <c r="M247">
        <f ca="1">IFERROR(__xludf.DUMMYFUNCTION("""COMPUTED_VALUE"""),4)</f>
        <v>4</v>
      </c>
      <c r="N247" s="8"/>
    </row>
    <row r="248" spans="1:14" ht="12.45" hidden="1">
      <c r="A248" t="str">
        <f ca="1">IFERROR(__xludf.DUMMYFUNCTION("""COMPUTED_VALUE"""),"V-2-349")</f>
        <v>V-2-349</v>
      </c>
      <c r="B248" t="str">
        <f ca="1">IFERROR(__xludf.DUMMYFUNCTION("""COMPUTED_VALUE"""),"Прокофьев")</f>
        <v>Прокофьев</v>
      </c>
      <c r="C248" t="str">
        <f ca="1">IFERROR(__xludf.DUMMYFUNCTION("""COMPUTED_VALUE"""),"Даниил")</f>
        <v>Даниил</v>
      </c>
      <c r="D248" t="str">
        <f ca="1">IFERROR(__xludf.DUMMYFUNCTION("""COMPUTED_VALUE"""),"Гимназия Академическая гимназия 56")</f>
        <v>Гимназия Академическая гимназия 56</v>
      </c>
      <c r="E248" s="5">
        <f ca="1">IFERROR(__xludf.DUMMYFUNCTION("""COMPUTED_VALUE"""),2)</f>
        <v>2</v>
      </c>
      <c r="F248" s="5">
        <f ca="1">IFERROR(__xludf.DUMMYFUNCTION("""COMPUTED_VALUE"""),0)</f>
        <v>0</v>
      </c>
      <c r="G248" s="5">
        <f ca="1">IFERROR(__xludf.DUMMYFUNCTION("""COMPUTED_VALUE"""),0)</f>
        <v>0</v>
      </c>
      <c r="H248" s="5">
        <f ca="1">IFERROR(__xludf.DUMMYFUNCTION("""COMPUTED_VALUE"""),0)</f>
        <v>0</v>
      </c>
      <c r="I248" s="5">
        <f ca="1">IFERROR(__xludf.DUMMYFUNCTION("""COMPUTED_VALUE"""),0)</f>
        <v>0</v>
      </c>
      <c r="J248" s="5">
        <f ca="1">IFERROR(__xludf.DUMMYFUNCTION("""COMPUTED_VALUE"""),2)</f>
        <v>2</v>
      </c>
      <c r="K248" s="5">
        <f ca="1">IFERROR(__xludf.DUMMYFUNCTION("""COMPUTED_VALUE"""),0)</f>
        <v>0</v>
      </c>
      <c r="L248" s="5">
        <f ca="1">IFERROR(__xludf.DUMMYFUNCTION("""COMPUTED_VALUE"""),0)</f>
        <v>0</v>
      </c>
      <c r="M248">
        <f ca="1">IFERROR(__xludf.DUMMYFUNCTION("""COMPUTED_VALUE"""),4)</f>
        <v>4</v>
      </c>
      <c r="N248" s="8"/>
    </row>
    <row r="249" spans="1:14" ht="12.45" hidden="1">
      <c r="A249" t="str">
        <f ca="1">IFERROR(__xludf.DUMMYFUNCTION("""COMPUTED_VALUE"""),"III-2-039")</f>
        <v>III-2-039</v>
      </c>
      <c r="B249" t="str">
        <f ca="1">IFERROR(__xludf.DUMMYFUNCTION("""COMPUTED_VALUE"""),"Баркарь")</f>
        <v>Баркарь</v>
      </c>
      <c r="C249" t="str">
        <f ca="1">IFERROR(__xludf.DUMMYFUNCTION("""COMPUTED_VALUE"""),"Виктор")</f>
        <v>Виктор</v>
      </c>
      <c r="D249" t="str">
        <f ca="1">IFERROR(__xludf.DUMMYFUNCTION("""COMPUTED_VALUE"""),"Школа 246")</f>
        <v>Школа 246</v>
      </c>
      <c r="E249" s="5">
        <f ca="1">IFERROR(__xludf.DUMMYFUNCTION("""COMPUTED_VALUE"""),1)</f>
        <v>1</v>
      </c>
      <c r="F249" s="5">
        <f ca="1">IFERROR(__xludf.DUMMYFUNCTION("""COMPUTED_VALUE"""),0)</f>
        <v>0</v>
      </c>
      <c r="G249" s="5">
        <f ca="1">IFERROR(__xludf.DUMMYFUNCTION("""COMPUTED_VALUE"""),0)</f>
        <v>0</v>
      </c>
      <c r="H249" s="5">
        <f ca="1">IFERROR(__xludf.DUMMYFUNCTION("""COMPUTED_VALUE"""),0)</f>
        <v>0</v>
      </c>
      <c r="I249" s="5">
        <f ca="1">IFERROR(__xludf.DUMMYFUNCTION("""COMPUTED_VALUE"""),3)</f>
        <v>3</v>
      </c>
      <c r="J249" s="5">
        <f ca="1">IFERROR(__xludf.DUMMYFUNCTION("""COMPUTED_VALUE"""),0)</f>
        <v>0</v>
      </c>
      <c r="K249" s="5">
        <f ca="1">IFERROR(__xludf.DUMMYFUNCTION("""COMPUTED_VALUE"""),0)</f>
        <v>0</v>
      </c>
      <c r="L249" s="5">
        <f ca="1">IFERROR(__xludf.DUMMYFUNCTION("""COMPUTED_VALUE"""),0)</f>
        <v>0</v>
      </c>
      <c r="M249">
        <f ca="1">IFERROR(__xludf.DUMMYFUNCTION("""COMPUTED_VALUE"""),4)</f>
        <v>4</v>
      </c>
      <c r="N249" s="8"/>
    </row>
    <row r="250" spans="1:14" ht="12.45" hidden="1">
      <c r="A250" t="str">
        <f ca="1">IFERROR(__xludf.DUMMYFUNCTION("""COMPUTED_VALUE"""),"III-2-103")</f>
        <v>III-2-103</v>
      </c>
      <c r="B250" t="str">
        <f ca="1">IFERROR(__xludf.DUMMYFUNCTION("""COMPUTED_VALUE"""),"Городовых")</f>
        <v>Городовых</v>
      </c>
      <c r="C250" t="str">
        <f ca="1">IFERROR(__xludf.DUMMYFUNCTION("""COMPUTED_VALUE"""),"Максим")</f>
        <v>Максим</v>
      </c>
      <c r="D250" t="str">
        <f ca="1">IFERROR(__xludf.DUMMYFUNCTION("""COMPUTED_VALUE"""),"Школа 292")</f>
        <v>Школа 292</v>
      </c>
      <c r="E250" s="5">
        <f ca="1">IFERROR(__xludf.DUMMYFUNCTION("""COMPUTED_VALUE"""),2)</f>
        <v>2</v>
      </c>
      <c r="F250" s="5">
        <f ca="1">IFERROR(__xludf.DUMMYFUNCTION("""COMPUTED_VALUE"""),1)</f>
        <v>1</v>
      </c>
      <c r="G250" s="5">
        <f ca="1">IFERROR(__xludf.DUMMYFUNCTION("""COMPUTED_VALUE"""),0)</f>
        <v>0</v>
      </c>
      <c r="H250" s="5">
        <f ca="1">IFERROR(__xludf.DUMMYFUNCTION("""COMPUTED_VALUE"""),0)</f>
        <v>0</v>
      </c>
      <c r="I250" s="5">
        <f ca="1">IFERROR(__xludf.DUMMYFUNCTION("""COMPUTED_VALUE"""),1)</f>
        <v>1</v>
      </c>
      <c r="J250" s="5">
        <f ca="1">IFERROR(__xludf.DUMMYFUNCTION("""COMPUTED_VALUE"""),0)</f>
        <v>0</v>
      </c>
      <c r="K250" s="5">
        <f ca="1">IFERROR(__xludf.DUMMYFUNCTION("""COMPUTED_VALUE"""),0)</f>
        <v>0</v>
      </c>
      <c r="L250" s="5">
        <f ca="1">IFERROR(__xludf.DUMMYFUNCTION("""COMPUTED_VALUE"""),0)</f>
        <v>0</v>
      </c>
      <c r="M250">
        <f ca="1">IFERROR(__xludf.DUMMYFUNCTION("""COMPUTED_VALUE"""),4)</f>
        <v>4</v>
      </c>
      <c r="N250" s="8"/>
    </row>
    <row r="251" spans="1:14" ht="12.45" hidden="1">
      <c r="A251" t="str">
        <f ca="1">IFERROR(__xludf.DUMMYFUNCTION("""COMPUTED_VALUE"""),"III-2-009")</f>
        <v>III-2-009</v>
      </c>
      <c r="B251" t="str">
        <f ca="1">IFERROR(__xludf.DUMMYFUNCTION("""COMPUTED_VALUE"""),"Александрова")</f>
        <v>Александрова</v>
      </c>
      <c r="C251" t="str">
        <f ca="1">IFERROR(__xludf.DUMMYFUNCTION("""COMPUTED_VALUE"""),"Вера")</f>
        <v>Вера</v>
      </c>
      <c r="D251" t="str">
        <f ca="1">IFERROR(__xludf.DUMMYFUNCTION("""COMPUTED_VALUE"""),"Школа ЦОДИВ")</f>
        <v>Школа ЦОДИВ</v>
      </c>
      <c r="E251" s="5">
        <f ca="1">IFERROR(__xludf.DUMMYFUNCTION("""COMPUTED_VALUE"""),1)</f>
        <v>1</v>
      </c>
      <c r="F251" s="5">
        <f ca="1">IFERROR(__xludf.DUMMYFUNCTION("""COMPUTED_VALUE"""),0)</f>
        <v>0</v>
      </c>
      <c r="G251" s="5">
        <f ca="1">IFERROR(__xludf.DUMMYFUNCTION("""COMPUTED_VALUE"""),0)</f>
        <v>0</v>
      </c>
      <c r="H251" s="5">
        <f ca="1">IFERROR(__xludf.DUMMYFUNCTION("""COMPUTED_VALUE"""),3)</f>
        <v>3</v>
      </c>
      <c r="I251" s="5">
        <f ca="1">IFERROR(__xludf.DUMMYFUNCTION("""COMPUTED_VALUE"""),0)</f>
        <v>0</v>
      </c>
      <c r="J251" s="5">
        <f ca="1">IFERROR(__xludf.DUMMYFUNCTION("""COMPUTED_VALUE"""),0)</f>
        <v>0</v>
      </c>
      <c r="K251" s="5">
        <f ca="1">IFERROR(__xludf.DUMMYFUNCTION("""COMPUTED_VALUE"""),0)</f>
        <v>0</v>
      </c>
      <c r="L251" s="5">
        <f ca="1">IFERROR(__xludf.DUMMYFUNCTION("""COMPUTED_VALUE"""),0)</f>
        <v>0</v>
      </c>
      <c r="M251">
        <f ca="1">IFERROR(__xludf.DUMMYFUNCTION("""COMPUTED_VALUE"""),4)</f>
        <v>4</v>
      </c>
      <c r="N251" s="8"/>
    </row>
    <row r="252" spans="1:14" ht="12.45" hidden="1">
      <c r="A252" t="str">
        <f ca="1">IFERROR(__xludf.DUMMYFUNCTION("""COMPUTED_VALUE"""),"III-2-001")</f>
        <v>III-2-001</v>
      </c>
      <c r="B252" t="str">
        <f ca="1">IFERROR(__xludf.DUMMYFUNCTION("""COMPUTED_VALUE"""),"Cемикина")</f>
        <v>Cемикина</v>
      </c>
      <c r="C252" t="str">
        <f ca="1">IFERROR(__xludf.DUMMYFUNCTION("""COMPUTED_VALUE"""),"Полина")</f>
        <v>Полина</v>
      </c>
      <c r="D252" t="str">
        <f ca="1">IFERROR(__xludf.DUMMYFUNCTION("""COMPUTED_VALUE"""),"Школа 516")</f>
        <v>Школа 516</v>
      </c>
      <c r="E252" s="5">
        <f ca="1">IFERROR(__xludf.DUMMYFUNCTION("""COMPUTED_VALUE"""),0)</f>
        <v>0</v>
      </c>
      <c r="F252" s="5">
        <f ca="1">IFERROR(__xludf.DUMMYFUNCTION("""COMPUTED_VALUE"""),0)</f>
        <v>0</v>
      </c>
      <c r="G252" s="5">
        <f ca="1">IFERROR(__xludf.DUMMYFUNCTION("""COMPUTED_VALUE"""),4)</f>
        <v>4</v>
      </c>
      <c r="H252" s="5">
        <f ca="1">IFERROR(__xludf.DUMMYFUNCTION("""COMPUTED_VALUE"""),0)</f>
        <v>0</v>
      </c>
      <c r="I252" s="5">
        <f ca="1">IFERROR(__xludf.DUMMYFUNCTION("""COMPUTED_VALUE"""),0)</f>
        <v>0</v>
      </c>
      <c r="J252" s="5">
        <f ca="1">IFERROR(__xludf.DUMMYFUNCTION("""COMPUTED_VALUE"""),0)</f>
        <v>0</v>
      </c>
      <c r="K252" s="5">
        <f ca="1">IFERROR(__xludf.DUMMYFUNCTION("""COMPUTED_VALUE"""),0)</f>
        <v>0</v>
      </c>
      <c r="L252" s="5">
        <f ca="1">IFERROR(__xludf.DUMMYFUNCTION("""COMPUTED_VALUE"""),0)</f>
        <v>0</v>
      </c>
      <c r="M252">
        <f ca="1">IFERROR(__xludf.DUMMYFUNCTION("""COMPUTED_VALUE"""),4)</f>
        <v>4</v>
      </c>
      <c r="N252" s="8"/>
    </row>
    <row r="253" spans="1:14" ht="12.45" hidden="1">
      <c r="A253" t="str">
        <f ca="1">IFERROR(__xludf.DUMMYFUNCTION("""COMPUTED_VALUE"""),"V-2-379")</f>
        <v>V-2-379</v>
      </c>
      <c r="B253" t="str">
        <f ca="1">IFERROR(__xludf.DUMMYFUNCTION("""COMPUTED_VALUE"""),"Семикина")</f>
        <v>Семикина</v>
      </c>
      <c r="C253" t="str">
        <f ca="1">IFERROR(__xludf.DUMMYFUNCTION("""COMPUTED_VALUE"""),"Наталья")</f>
        <v>Наталья</v>
      </c>
      <c r="D253" t="str">
        <f ca="1">IFERROR(__xludf.DUMMYFUNCTION("""COMPUTED_VALUE"""),"Гимназия Гимназия 92")</f>
        <v>Гимназия Гимназия 92</v>
      </c>
      <c r="E253" s="5">
        <f ca="1">IFERROR(__xludf.DUMMYFUNCTION("""COMPUTED_VALUE"""),0)</f>
        <v>0</v>
      </c>
      <c r="F253" s="5">
        <f ca="1">IFERROR(__xludf.DUMMYFUNCTION("""COMPUTED_VALUE"""),0)</f>
        <v>0</v>
      </c>
      <c r="G253" s="5">
        <f ca="1">IFERROR(__xludf.DUMMYFUNCTION("""COMPUTED_VALUE"""),4)</f>
        <v>4</v>
      </c>
      <c r="H253" s="5">
        <f ca="1">IFERROR(__xludf.DUMMYFUNCTION("""COMPUTED_VALUE"""),0)</f>
        <v>0</v>
      </c>
      <c r="I253" s="5">
        <f ca="1">IFERROR(__xludf.DUMMYFUNCTION("""COMPUTED_VALUE"""),0)</f>
        <v>0</v>
      </c>
      <c r="J253" s="5">
        <f ca="1">IFERROR(__xludf.DUMMYFUNCTION("""COMPUTED_VALUE"""),0)</f>
        <v>0</v>
      </c>
      <c r="K253" s="5">
        <f ca="1">IFERROR(__xludf.DUMMYFUNCTION("""COMPUTED_VALUE"""),0)</f>
        <v>0</v>
      </c>
      <c r="L253" s="5">
        <f ca="1">IFERROR(__xludf.DUMMYFUNCTION("""COMPUTED_VALUE"""),0)</f>
        <v>0</v>
      </c>
      <c r="M253">
        <f ca="1">IFERROR(__xludf.DUMMYFUNCTION("""COMPUTED_VALUE"""),4)</f>
        <v>4</v>
      </c>
      <c r="N253" s="8"/>
    </row>
    <row r="254" spans="1:14" ht="12.45" hidden="1">
      <c r="A254" t="str">
        <f ca="1">IFERROR(__xludf.DUMMYFUNCTION("""COMPUTED_VALUE"""),"III-2-099")</f>
        <v>III-2-099</v>
      </c>
      <c r="B254" t="str">
        <f ca="1">IFERROR(__xludf.DUMMYFUNCTION("""COMPUTED_VALUE"""),"Гордиенко")</f>
        <v>Гордиенко</v>
      </c>
      <c r="C254" t="str">
        <f ca="1">IFERROR(__xludf.DUMMYFUNCTION("""COMPUTED_VALUE"""),"Николь")</f>
        <v>Николь</v>
      </c>
      <c r="D254" t="str">
        <f ca="1">IFERROR(__xludf.DUMMYFUNCTION("""COMPUTED_VALUE"""),"Лицей 64")</f>
        <v>Лицей 64</v>
      </c>
      <c r="E254" s="5">
        <f ca="1">IFERROR(__xludf.DUMMYFUNCTION("""COMPUTED_VALUE"""),0)</f>
        <v>0</v>
      </c>
      <c r="F254" s="5">
        <f ca="1">IFERROR(__xludf.DUMMYFUNCTION("""COMPUTED_VALUE"""),0)</f>
        <v>0</v>
      </c>
      <c r="G254" s="5">
        <f ca="1">IFERROR(__xludf.DUMMYFUNCTION("""COMPUTED_VALUE"""),4)</f>
        <v>4</v>
      </c>
      <c r="H254" s="5">
        <f ca="1">IFERROR(__xludf.DUMMYFUNCTION("""COMPUTED_VALUE"""),0)</f>
        <v>0</v>
      </c>
      <c r="I254" s="5">
        <f ca="1">IFERROR(__xludf.DUMMYFUNCTION("""COMPUTED_VALUE"""),0)</f>
        <v>0</v>
      </c>
      <c r="J254" s="5">
        <f ca="1">IFERROR(__xludf.DUMMYFUNCTION("""COMPUTED_VALUE"""),0)</f>
        <v>0</v>
      </c>
      <c r="K254" s="5">
        <f ca="1">IFERROR(__xludf.DUMMYFUNCTION("""COMPUTED_VALUE"""),0)</f>
        <v>0</v>
      </c>
      <c r="L254" s="5">
        <f ca="1">IFERROR(__xludf.DUMMYFUNCTION("""COMPUTED_VALUE"""),0)</f>
        <v>0</v>
      </c>
      <c r="M254">
        <f ca="1">IFERROR(__xludf.DUMMYFUNCTION("""COMPUTED_VALUE"""),4)</f>
        <v>4</v>
      </c>
      <c r="N254" s="8"/>
    </row>
    <row r="255" spans="1:14" ht="12.45" hidden="1">
      <c r="A255" t="str">
        <f ca="1">IFERROR(__xludf.DUMMYFUNCTION("""COMPUTED_VALUE"""),"V-2-309")</f>
        <v>V-2-309</v>
      </c>
      <c r="B255" t="str">
        <f ca="1">IFERROR(__xludf.DUMMYFUNCTION("""COMPUTED_VALUE"""),"Некрасова")</f>
        <v>Некрасова</v>
      </c>
      <c r="C255" t="str">
        <f ca="1">IFERROR(__xludf.DUMMYFUNCTION("""COMPUTED_VALUE"""),"Ольга")</f>
        <v>Ольга</v>
      </c>
      <c r="D255" t="str">
        <f ca="1">IFERROR(__xludf.DUMMYFUNCTION("""COMPUTED_VALUE"""),"Лицей 344")</f>
        <v>Лицей 344</v>
      </c>
      <c r="E255" s="5">
        <f ca="1">IFERROR(__xludf.DUMMYFUNCTION("""COMPUTED_VALUE"""),0)</f>
        <v>0</v>
      </c>
      <c r="F255" s="5">
        <f ca="1">IFERROR(__xludf.DUMMYFUNCTION("""COMPUTED_VALUE"""),0)</f>
        <v>0</v>
      </c>
      <c r="G255" s="5">
        <f ca="1">IFERROR(__xludf.DUMMYFUNCTION("""COMPUTED_VALUE"""),4)</f>
        <v>4</v>
      </c>
      <c r="H255" s="5">
        <f ca="1">IFERROR(__xludf.DUMMYFUNCTION("""COMPUTED_VALUE"""),0)</f>
        <v>0</v>
      </c>
      <c r="I255" s="5">
        <f ca="1">IFERROR(__xludf.DUMMYFUNCTION("""COMPUTED_VALUE"""),0)</f>
        <v>0</v>
      </c>
      <c r="J255" s="5">
        <f ca="1">IFERROR(__xludf.DUMMYFUNCTION("""COMPUTED_VALUE"""),0)</f>
        <v>0</v>
      </c>
      <c r="K255" s="5">
        <f ca="1">IFERROR(__xludf.DUMMYFUNCTION("""COMPUTED_VALUE"""),0)</f>
        <v>0</v>
      </c>
      <c r="L255" s="5">
        <f ca="1">IFERROR(__xludf.DUMMYFUNCTION("""COMPUTED_VALUE"""),0)</f>
        <v>0</v>
      </c>
      <c r="M255">
        <f ca="1">IFERROR(__xludf.DUMMYFUNCTION("""COMPUTED_VALUE"""),4)</f>
        <v>4</v>
      </c>
      <c r="N255" s="8"/>
    </row>
    <row r="256" spans="1:14" ht="12.45" hidden="1">
      <c r="A256" t="str">
        <f ca="1">IFERROR(__xludf.DUMMYFUNCTION("""COMPUTED_VALUE"""),"III-2-051")</f>
        <v>III-2-051</v>
      </c>
      <c r="B256" t="str">
        <f ca="1">IFERROR(__xludf.DUMMYFUNCTION("""COMPUTED_VALUE"""),"Богданова")</f>
        <v>Богданова</v>
      </c>
      <c r="C256" t="str">
        <f ca="1">IFERROR(__xludf.DUMMYFUNCTION("""COMPUTED_VALUE"""),"Василиса")</f>
        <v>Василиса</v>
      </c>
      <c r="D256" t="str">
        <f ca="1">IFERROR(__xludf.DUMMYFUNCTION("""COMPUTED_VALUE"""),"Гимназия Петершуле")</f>
        <v>Гимназия Петершуле</v>
      </c>
      <c r="E256" s="5">
        <f ca="1">IFERROR(__xludf.DUMMYFUNCTION("""COMPUTED_VALUE"""),2)</f>
        <v>2</v>
      </c>
      <c r="F256" s="5">
        <f ca="1">IFERROR(__xludf.DUMMYFUNCTION("""COMPUTED_VALUE"""),0)</f>
        <v>0</v>
      </c>
      <c r="G256" s="5">
        <f ca="1">IFERROR(__xludf.DUMMYFUNCTION("""COMPUTED_VALUE"""),2)</f>
        <v>2</v>
      </c>
      <c r="H256" s="5">
        <f ca="1">IFERROR(__xludf.DUMMYFUNCTION("""COMPUTED_VALUE"""),0)</f>
        <v>0</v>
      </c>
      <c r="I256" s="5">
        <f ca="1">IFERROR(__xludf.DUMMYFUNCTION("""COMPUTED_VALUE"""),0)</f>
        <v>0</v>
      </c>
      <c r="J256" s="5">
        <f ca="1">IFERROR(__xludf.DUMMYFUNCTION("""COMPUTED_VALUE"""),0)</f>
        <v>0</v>
      </c>
      <c r="K256" s="5">
        <f ca="1">IFERROR(__xludf.DUMMYFUNCTION("""COMPUTED_VALUE"""),0)</f>
        <v>0</v>
      </c>
      <c r="L256" s="5">
        <f ca="1">IFERROR(__xludf.DUMMYFUNCTION("""COMPUTED_VALUE"""),0)</f>
        <v>0</v>
      </c>
      <c r="M256">
        <f ca="1">IFERROR(__xludf.DUMMYFUNCTION("""COMPUTED_VALUE"""),4)</f>
        <v>4</v>
      </c>
      <c r="N256" s="8"/>
    </row>
    <row r="257" spans="1:14" ht="12.45" hidden="1">
      <c r="A257" t="str">
        <f ca="1">IFERROR(__xludf.DUMMYFUNCTION("""COMPUTED_VALUE"""),"V-2-427")</f>
        <v>V-2-427</v>
      </c>
      <c r="B257" t="str">
        <f ca="1">IFERROR(__xludf.DUMMYFUNCTION("""COMPUTED_VALUE"""),"Трушенкова")</f>
        <v>Трушенкова</v>
      </c>
      <c r="C257" t="str">
        <f ca="1">IFERROR(__xludf.DUMMYFUNCTION("""COMPUTED_VALUE"""),"Арина")</f>
        <v>Арина</v>
      </c>
      <c r="D257" t="str">
        <f ca="1">IFERROR(__xludf.DUMMYFUNCTION("""COMPUTED_VALUE"""),"Школа 598")</f>
        <v>Школа 598</v>
      </c>
      <c r="E257" s="5">
        <f ca="1">IFERROR(__xludf.DUMMYFUNCTION("""COMPUTED_VALUE"""),2)</f>
        <v>2</v>
      </c>
      <c r="F257" s="5">
        <f ca="1">IFERROR(__xludf.DUMMYFUNCTION("""COMPUTED_VALUE"""),0)</f>
        <v>0</v>
      </c>
      <c r="G257" s="5">
        <f ca="1">IFERROR(__xludf.DUMMYFUNCTION("""COMPUTED_VALUE"""),2)</f>
        <v>2</v>
      </c>
      <c r="H257" s="5">
        <f ca="1">IFERROR(__xludf.DUMMYFUNCTION("""COMPUTED_VALUE"""),0)</f>
        <v>0</v>
      </c>
      <c r="I257" s="5">
        <f ca="1">IFERROR(__xludf.DUMMYFUNCTION("""COMPUTED_VALUE"""),0)</f>
        <v>0</v>
      </c>
      <c r="J257" s="5">
        <f ca="1">IFERROR(__xludf.DUMMYFUNCTION("""COMPUTED_VALUE"""),0)</f>
        <v>0</v>
      </c>
      <c r="K257" s="5">
        <f ca="1">IFERROR(__xludf.DUMMYFUNCTION("""COMPUTED_VALUE"""),0)</f>
        <v>0</v>
      </c>
      <c r="L257" s="5">
        <f ca="1">IFERROR(__xludf.DUMMYFUNCTION("""COMPUTED_VALUE"""),0)</f>
        <v>0</v>
      </c>
      <c r="M257">
        <f ca="1">IFERROR(__xludf.DUMMYFUNCTION("""COMPUTED_VALUE"""),4)</f>
        <v>4</v>
      </c>
      <c r="N257" s="8"/>
    </row>
    <row r="258" spans="1:14" ht="12.45" hidden="1">
      <c r="A258" t="str">
        <f ca="1">IFERROR(__xludf.DUMMYFUNCTION("""COMPUTED_VALUE"""),"V-2-261")</f>
        <v>V-2-261</v>
      </c>
      <c r="B258" t="str">
        <f ca="1">IFERROR(__xludf.DUMMYFUNCTION("""COMPUTED_VALUE"""),"Лукьянова")</f>
        <v>Лукьянова</v>
      </c>
      <c r="C258" t="str">
        <f ca="1">IFERROR(__xludf.DUMMYFUNCTION("""COMPUTED_VALUE"""),"Любовь")</f>
        <v>Любовь</v>
      </c>
      <c r="D258" t="str">
        <f ca="1">IFERROR(__xludf.DUMMYFUNCTION("""COMPUTED_VALUE"""),"Школа 471")</f>
        <v>Школа 471</v>
      </c>
      <c r="E258" s="5">
        <f ca="1">IFERROR(__xludf.DUMMYFUNCTION("""COMPUTED_VALUE"""),0)</f>
        <v>0</v>
      </c>
      <c r="F258" s="5">
        <f ca="1">IFERROR(__xludf.DUMMYFUNCTION("""COMPUTED_VALUE"""),4)</f>
        <v>4</v>
      </c>
      <c r="G258" s="5">
        <f ca="1">IFERROR(__xludf.DUMMYFUNCTION("""COMPUTED_VALUE"""),0)</f>
        <v>0</v>
      </c>
      <c r="H258" s="5">
        <f ca="1">IFERROR(__xludf.DUMMYFUNCTION("""COMPUTED_VALUE"""),0)</f>
        <v>0</v>
      </c>
      <c r="I258" s="5">
        <f ca="1">IFERROR(__xludf.DUMMYFUNCTION("""COMPUTED_VALUE"""),0)</f>
        <v>0</v>
      </c>
      <c r="J258" s="5">
        <f ca="1">IFERROR(__xludf.DUMMYFUNCTION("""COMPUTED_VALUE"""),0)</f>
        <v>0</v>
      </c>
      <c r="K258" s="5">
        <f ca="1">IFERROR(__xludf.DUMMYFUNCTION("""COMPUTED_VALUE"""),0)</f>
        <v>0</v>
      </c>
      <c r="L258" s="5">
        <f ca="1">IFERROR(__xludf.DUMMYFUNCTION("""COMPUTED_VALUE"""),0)</f>
        <v>0</v>
      </c>
      <c r="M258">
        <f ca="1">IFERROR(__xludf.DUMMYFUNCTION("""COMPUTED_VALUE"""),4)</f>
        <v>4</v>
      </c>
      <c r="N258" s="8"/>
    </row>
    <row r="259" spans="1:14" ht="12.45" hidden="1">
      <c r="A259" t="str">
        <f ca="1">IFERROR(__xludf.DUMMYFUNCTION("""COMPUTED_VALUE"""),"V-2-388")</f>
        <v>V-2-388</v>
      </c>
      <c r="B259" t="str">
        <f ca="1">IFERROR(__xludf.DUMMYFUNCTION("""COMPUTED_VALUE"""),"Симаков")</f>
        <v>Симаков</v>
      </c>
      <c r="C259" t="str">
        <f ca="1">IFERROR(__xludf.DUMMYFUNCTION("""COMPUTED_VALUE"""),"Тимофей")</f>
        <v>Тимофей</v>
      </c>
      <c r="D259" t="str">
        <f ca="1">IFERROR(__xludf.DUMMYFUNCTION("""COMPUTED_VALUE"""),"Гимназия 271")</f>
        <v>Гимназия 271</v>
      </c>
      <c r="E259" s="5">
        <f ca="1">IFERROR(__xludf.DUMMYFUNCTION("""COMPUTED_VALUE"""),0)</f>
        <v>0</v>
      </c>
      <c r="F259" s="5">
        <f ca="1">IFERROR(__xludf.DUMMYFUNCTION("""COMPUTED_VALUE"""),4)</f>
        <v>4</v>
      </c>
      <c r="G259" s="5">
        <f ca="1">IFERROR(__xludf.DUMMYFUNCTION("""COMPUTED_VALUE"""),0)</f>
        <v>0</v>
      </c>
      <c r="H259" s="5">
        <f ca="1">IFERROR(__xludf.DUMMYFUNCTION("""COMPUTED_VALUE"""),0)</f>
        <v>0</v>
      </c>
      <c r="I259" s="5">
        <f ca="1">IFERROR(__xludf.DUMMYFUNCTION("""COMPUTED_VALUE"""),0)</f>
        <v>0</v>
      </c>
      <c r="J259" s="5">
        <f ca="1">IFERROR(__xludf.DUMMYFUNCTION("""COMPUTED_VALUE"""),0)</f>
        <v>0</v>
      </c>
      <c r="K259" s="5">
        <f ca="1">IFERROR(__xludf.DUMMYFUNCTION("""COMPUTED_VALUE"""),0)</f>
        <v>0</v>
      </c>
      <c r="L259" s="5">
        <f ca="1">IFERROR(__xludf.DUMMYFUNCTION("""COMPUTED_VALUE"""),0)</f>
        <v>0</v>
      </c>
      <c r="M259">
        <f ca="1">IFERROR(__xludf.DUMMYFUNCTION("""COMPUTED_VALUE"""),4)</f>
        <v>4</v>
      </c>
      <c r="N259" s="8"/>
    </row>
    <row r="260" spans="1:14" ht="12.45" hidden="1">
      <c r="A260" t="str">
        <f ca="1">IFERROR(__xludf.DUMMYFUNCTION("""COMPUTED_VALUE"""),"III-2-131")</f>
        <v>III-2-131</v>
      </c>
      <c r="B260" t="str">
        <f ca="1">IFERROR(__xludf.DUMMYFUNCTION("""COMPUTED_VALUE"""),"Дмитриева")</f>
        <v>Дмитриева</v>
      </c>
      <c r="C260" t="str">
        <f ca="1">IFERROR(__xludf.DUMMYFUNCTION("""COMPUTED_VALUE"""),"Виктория")</f>
        <v>Виктория</v>
      </c>
      <c r="D260" t="str">
        <f ca="1">IFERROR(__xludf.DUMMYFUNCTION("""COMPUTED_VALUE"""),"Школа 328")</f>
        <v>Школа 328</v>
      </c>
      <c r="E260" s="5">
        <f ca="1">IFERROR(__xludf.DUMMYFUNCTION("""COMPUTED_VALUE"""),2)</f>
        <v>2</v>
      </c>
      <c r="F260" s="5">
        <f ca="1">IFERROR(__xludf.DUMMYFUNCTION("""COMPUTED_VALUE"""),0)</f>
        <v>0</v>
      </c>
      <c r="G260" s="5">
        <f ca="1">IFERROR(__xludf.DUMMYFUNCTION("""COMPUTED_VALUE"""),0)</f>
        <v>0</v>
      </c>
      <c r="H260" s="5">
        <f ca="1">IFERROR(__xludf.DUMMYFUNCTION("""COMPUTED_VALUE"""),0)</f>
        <v>0</v>
      </c>
      <c r="I260" s="5">
        <f ca="1">IFERROR(__xludf.DUMMYFUNCTION("""COMPUTED_VALUE"""),0)</f>
        <v>0</v>
      </c>
      <c r="J260" s="5">
        <f ca="1">IFERROR(__xludf.DUMMYFUNCTION("""COMPUTED_VALUE"""),0)</f>
        <v>0</v>
      </c>
      <c r="K260" s="5">
        <f ca="1">IFERROR(__xludf.DUMMYFUNCTION("""COMPUTED_VALUE"""),1)</f>
        <v>1</v>
      </c>
      <c r="L260" s="5">
        <f ca="1">IFERROR(__xludf.DUMMYFUNCTION("""COMPUTED_VALUE"""),0)</f>
        <v>0</v>
      </c>
      <c r="M260">
        <f ca="1">IFERROR(__xludf.DUMMYFUNCTION("""COMPUTED_VALUE"""),3)</f>
        <v>3</v>
      </c>
      <c r="N260" s="8"/>
    </row>
    <row r="261" spans="1:14" ht="12.45" hidden="1">
      <c r="A261" t="str">
        <f ca="1">IFERROR(__xludf.DUMMYFUNCTION("""COMPUTED_VALUE"""),"V-2-359")</f>
        <v>V-2-359</v>
      </c>
      <c r="B261" t="str">
        <f ca="1">IFERROR(__xludf.DUMMYFUNCTION("""COMPUTED_VALUE"""),"Рубина")</f>
        <v>Рубина</v>
      </c>
      <c r="C261" t="str">
        <f ca="1">IFERROR(__xludf.DUMMYFUNCTION("""COMPUTED_VALUE"""),"Юлия")</f>
        <v>Юлия</v>
      </c>
      <c r="D261" t="str">
        <f ca="1">IFERROR(__xludf.DUMMYFUNCTION("""COMPUTED_VALUE"""),"Школа 111")</f>
        <v>Школа 111</v>
      </c>
      <c r="E261" s="5">
        <f ca="1">IFERROR(__xludf.DUMMYFUNCTION("""COMPUTED_VALUE"""),0)</f>
        <v>0</v>
      </c>
      <c r="F261" s="5">
        <f ca="1">IFERROR(__xludf.DUMMYFUNCTION("""COMPUTED_VALUE"""),0)</f>
        <v>0</v>
      </c>
      <c r="G261" s="5">
        <f ca="1">IFERROR(__xludf.DUMMYFUNCTION("""COMPUTED_VALUE"""),0)</f>
        <v>0</v>
      </c>
      <c r="H261" s="5">
        <f ca="1">IFERROR(__xludf.DUMMYFUNCTION("""COMPUTED_VALUE"""),0)</f>
        <v>0</v>
      </c>
      <c r="I261" s="5">
        <f ca="1">IFERROR(__xludf.DUMMYFUNCTION("""COMPUTED_VALUE"""),3)</f>
        <v>3</v>
      </c>
      <c r="J261" s="5">
        <f ca="1">IFERROR(__xludf.DUMMYFUNCTION("""COMPUTED_VALUE"""),0)</f>
        <v>0</v>
      </c>
      <c r="K261" s="5">
        <f ca="1">IFERROR(__xludf.DUMMYFUNCTION("""COMPUTED_VALUE"""),0)</f>
        <v>0</v>
      </c>
      <c r="L261" s="5">
        <f ca="1">IFERROR(__xludf.DUMMYFUNCTION("""COMPUTED_VALUE"""),0)</f>
        <v>0</v>
      </c>
      <c r="M261">
        <f ca="1">IFERROR(__xludf.DUMMYFUNCTION("""COMPUTED_VALUE"""),3)</f>
        <v>3</v>
      </c>
      <c r="N261" s="8"/>
    </row>
    <row r="262" spans="1:14" ht="12.45" hidden="1">
      <c r="A262" t="str">
        <f ca="1">IFERROR(__xludf.DUMMYFUNCTION("""COMPUTED_VALUE"""),"V-2-301")</f>
        <v>V-2-301</v>
      </c>
      <c r="B262" t="str">
        <f ca="1">IFERROR(__xludf.DUMMYFUNCTION("""COMPUTED_VALUE"""),"Мустафаева")</f>
        <v>Мустафаева</v>
      </c>
      <c r="C262" t="str">
        <f ca="1">IFERROR(__xludf.DUMMYFUNCTION("""COMPUTED_VALUE"""),"Александра")</f>
        <v>Александра</v>
      </c>
      <c r="D262" t="str">
        <f ca="1">IFERROR(__xludf.DUMMYFUNCTION("""COMPUTED_VALUE"""),"Лицей 101")</f>
        <v>Лицей 101</v>
      </c>
      <c r="E262" s="5">
        <f ca="1">IFERROR(__xludf.DUMMYFUNCTION("""COMPUTED_VALUE"""),0)</f>
        <v>0</v>
      </c>
      <c r="F262" s="5">
        <f ca="1">IFERROR(__xludf.DUMMYFUNCTION("""COMPUTED_VALUE"""),1)</f>
        <v>1</v>
      </c>
      <c r="G262" s="5">
        <f ca="1">IFERROR(__xludf.DUMMYFUNCTION("""COMPUTED_VALUE"""),0)</f>
        <v>0</v>
      </c>
      <c r="H262" s="5">
        <f ca="1">IFERROR(__xludf.DUMMYFUNCTION("""COMPUTED_VALUE"""),2)</f>
        <v>2</v>
      </c>
      <c r="I262" s="5">
        <f ca="1">IFERROR(__xludf.DUMMYFUNCTION("""COMPUTED_VALUE"""),0)</f>
        <v>0</v>
      </c>
      <c r="J262" s="5">
        <f ca="1">IFERROR(__xludf.DUMMYFUNCTION("""COMPUTED_VALUE"""),0)</f>
        <v>0</v>
      </c>
      <c r="K262" s="5">
        <f ca="1">IFERROR(__xludf.DUMMYFUNCTION("""COMPUTED_VALUE"""),0)</f>
        <v>0</v>
      </c>
      <c r="L262" s="5">
        <f ca="1">IFERROR(__xludf.DUMMYFUNCTION("""COMPUTED_VALUE"""),0)</f>
        <v>0</v>
      </c>
      <c r="M262">
        <f ca="1">IFERROR(__xludf.DUMMYFUNCTION("""COMPUTED_VALUE"""),3)</f>
        <v>3</v>
      </c>
      <c r="N262" s="8"/>
    </row>
    <row r="263" spans="1:14" ht="12.45" hidden="1">
      <c r="A263" t="str">
        <f ca="1">IFERROR(__xludf.DUMMYFUNCTION("""COMPUTED_VALUE"""),"III-2-227")</f>
        <v>III-2-227</v>
      </c>
      <c r="B263" t="str">
        <f ca="1">IFERROR(__xludf.DUMMYFUNCTION("""COMPUTED_VALUE"""),"Кришталь")</f>
        <v>Кришталь</v>
      </c>
      <c r="C263" t="str">
        <f ca="1">IFERROR(__xludf.DUMMYFUNCTION("""COMPUTED_VALUE"""),"Полина")</f>
        <v>Полина</v>
      </c>
      <c r="D263" t="str">
        <f ca="1">IFERROR(__xludf.DUMMYFUNCTION("""COMPUTED_VALUE"""),"Школа 113")</f>
        <v>Школа 113</v>
      </c>
      <c r="E263" s="5">
        <f ca="1">IFERROR(__xludf.DUMMYFUNCTION("""COMPUTED_VALUE"""),1)</f>
        <v>1</v>
      </c>
      <c r="F263" s="5">
        <f ca="1">IFERROR(__xludf.DUMMYFUNCTION("""COMPUTED_VALUE"""),0)</f>
        <v>0</v>
      </c>
      <c r="G263" s="5">
        <f ca="1">IFERROR(__xludf.DUMMYFUNCTION("""COMPUTED_VALUE"""),0)</f>
        <v>0</v>
      </c>
      <c r="H263" s="5">
        <f ca="1">IFERROR(__xludf.DUMMYFUNCTION("""COMPUTED_VALUE"""),2)</f>
        <v>2</v>
      </c>
      <c r="I263" s="5">
        <f ca="1">IFERROR(__xludf.DUMMYFUNCTION("""COMPUTED_VALUE"""),0)</f>
        <v>0</v>
      </c>
      <c r="J263" s="5">
        <f ca="1">IFERROR(__xludf.DUMMYFUNCTION("""COMPUTED_VALUE"""),0)</f>
        <v>0</v>
      </c>
      <c r="K263" s="5">
        <f ca="1">IFERROR(__xludf.DUMMYFUNCTION("""COMPUTED_VALUE"""),0)</f>
        <v>0</v>
      </c>
      <c r="L263" s="5">
        <f ca="1">IFERROR(__xludf.DUMMYFUNCTION("""COMPUTED_VALUE"""),0)</f>
        <v>0</v>
      </c>
      <c r="M263">
        <f ca="1">IFERROR(__xludf.DUMMYFUNCTION("""COMPUTED_VALUE"""),3)</f>
        <v>3</v>
      </c>
      <c r="N263" s="8"/>
    </row>
    <row r="264" spans="1:14" ht="12.45" hidden="1">
      <c r="A264" t="str">
        <f ca="1">IFERROR(__xludf.DUMMYFUNCTION("""COMPUTED_VALUE"""),"III-2-071")</f>
        <v>III-2-071</v>
      </c>
      <c r="B264" t="str">
        <f ca="1">IFERROR(__xludf.DUMMYFUNCTION("""COMPUTED_VALUE"""),"Васильев")</f>
        <v>Васильев</v>
      </c>
      <c r="C264" t="str">
        <f ca="1">IFERROR(__xludf.DUMMYFUNCTION("""COMPUTED_VALUE"""),"Алексей")</f>
        <v>Алексей</v>
      </c>
      <c r="D264" t="str">
        <f ca="1">IFERROR(__xludf.DUMMYFUNCTION("""COMPUTED_VALUE"""),"Гимназия 343")</f>
        <v>Гимназия 343</v>
      </c>
      <c r="E264" s="5">
        <f ca="1">IFERROR(__xludf.DUMMYFUNCTION("""COMPUTED_VALUE"""),3)</f>
        <v>3</v>
      </c>
      <c r="F264" s="5">
        <f ca="1">IFERROR(__xludf.DUMMYFUNCTION("""COMPUTED_VALUE"""),0)</f>
        <v>0</v>
      </c>
      <c r="G264" s="5">
        <f ca="1">IFERROR(__xludf.DUMMYFUNCTION("""COMPUTED_VALUE"""),0)</f>
        <v>0</v>
      </c>
      <c r="H264" s="5">
        <f ca="1">IFERROR(__xludf.DUMMYFUNCTION("""COMPUTED_VALUE"""),0)</f>
        <v>0</v>
      </c>
      <c r="I264" s="5">
        <f ca="1">IFERROR(__xludf.DUMMYFUNCTION("""COMPUTED_VALUE"""),0)</f>
        <v>0</v>
      </c>
      <c r="J264" s="5">
        <f ca="1">IFERROR(__xludf.DUMMYFUNCTION("""COMPUTED_VALUE"""),0)</f>
        <v>0</v>
      </c>
      <c r="K264" s="5">
        <f ca="1">IFERROR(__xludf.DUMMYFUNCTION("""COMPUTED_VALUE"""),0)</f>
        <v>0</v>
      </c>
      <c r="L264" s="5">
        <f ca="1">IFERROR(__xludf.DUMMYFUNCTION("""COMPUTED_VALUE"""),0)</f>
        <v>0</v>
      </c>
      <c r="M264">
        <f ca="1">IFERROR(__xludf.DUMMYFUNCTION("""COMPUTED_VALUE"""),3)</f>
        <v>3</v>
      </c>
      <c r="N264" s="8"/>
    </row>
    <row r="265" spans="1:14" ht="12.45" hidden="1">
      <c r="A265" t="str">
        <f ca="1">IFERROR(__xludf.DUMMYFUNCTION("""COMPUTED_VALUE"""),"III-2-124")</f>
        <v>III-2-124</v>
      </c>
      <c r="B265" t="str">
        <f ca="1">IFERROR(__xludf.DUMMYFUNCTION("""COMPUTED_VALUE"""),"Дарвич")</f>
        <v>Дарвич</v>
      </c>
      <c r="C265" t="str">
        <f ca="1">IFERROR(__xludf.DUMMYFUNCTION("""COMPUTED_VALUE"""),"Андрей")</f>
        <v>Андрей</v>
      </c>
      <c r="D265" t="str">
        <f ca="1">IFERROR(__xludf.DUMMYFUNCTION("""COMPUTED_VALUE"""),"Лицей 366")</f>
        <v>Лицей 366</v>
      </c>
      <c r="E265" s="5">
        <f ca="1">IFERROR(__xludf.DUMMYFUNCTION("""COMPUTED_VALUE"""),3)</f>
        <v>3</v>
      </c>
      <c r="F265" s="5">
        <f ca="1">IFERROR(__xludf.DUMMYFUNCTION("""COMPUTED_VALUE"""),0)</f>
        <v>0</v>
      </c>
      <c r="G265" s="5">
        <f ca="1">IFERROR(__xludf.DUMMYFUNCTION("""COMPUTED_VALUE"""),0)</f>
        <v>0</v>
      </c>
      <c r="H265" s="5">
        <f ca="1">IFERROR(__xludf.DUMMYFUNCTION("""COMPUTED_VALUE"""),0)</f>
        <v>0</v>
      </c>
      <c r="I265" s="5">
        <f ca="1">IFERROR(__xludf.DUMMYFUNCTION("""COMPUTED_VALUE"""),0)</f>
        <v>0</v>
      </c>
      <c r="J265" s="5">
        <f ca="1">IFERROR(__xludf.DUMMYFUNCTION("""COMPUTED_VALUE"""),0)</f>
        <v>0</v>
      </c>
      <c r="K265" s="5">
        <f ca="1">IFERROR(__xludf.DUMMYFUNCTION("""COMPUTED_VALUE"""),0)</f>
        <v>0</v>
      </c>
      <c r="L265" s="5">
        <f ca="1">IFERROR(__xludf.DUMMYFUNCTION("""COMPUTED_VALUE"""),0)</f>
        <v>0</v>
      </c>
      <c r="M265">
        <f ca="1">IFERROR(__xludf.DUMMYFUNCTION("""COMPUTED_VALUE"""),3)</f>
        <v>3</v>
      </c>
      <c r="N265" s="8"/>
    </row>
    <row r="266" spans="1:14" ht="12.45" hidden="1">
      <c r="A266" t="str">
        <f ca="1">IFERROR(__xludf.DUMMYFUNCTION("""COMPUTED_VALUE"""),"III-2-166")</f>
        <v>III-2-166</v>
      </c>
      <c r="B266" t="str">
        <f ca="1">IFERROR(__xludf.DUMMYFUNCTION("""COMPUTED_VALUE"""),"Зайцев")</f>
        <v>Зайцев</v>
      </c>
      <c r="C266" t="str">
        <f ca="1">IFERROR(__xludf.DUMMYFUNCTION("""COMPUTED_VALUE"""),"Вячеслав")</f>
        <v>Вячеслав</v>
      </c>
      <c r="D266" t="str">
        <f ca="1">IFERROR(__xludf.DUMMYFUNCTION("""COMPUTED_VALUE"""),"Гимназия 32")</f>
        <v>Гимназия 32</v>
      </c>
      <c r="E266" s="5">
        <f ca="1">IFERROR(__xludf.DUMMYFUNCTION("""COMPUTED_VALUE"""),3)</f>
        <v>3</v>
      </c>
      <c r="F266" s="5">
        <f ca="1">IFERROR(__xludf.DUMMYFUNCTION("""COMPUTED_VALUE"""),0)</f>
        <v>0</v>
      </c>
      <c r="G266" s="5">
        <f ca="1">IFERROR(__xludf.DUMMYFUNCTION("""COMPUTED_VALUE"""),0)</f>
        <v>0</v>
      </c>
      <c r="H266" s="5">
        <f ca="1">IFERROR(__xludf.DUMMYFUNCTION("""COMPUTED_VALUE"""),0)</f>
        <v>0</v>
      </c>
      <c r="I266" s="5">
        <f ca="1">IFERROR(__xludf.DUMMYFUNCTION("""COMPUTED_VALUE"""),0)</f>
        <v>0</v>
      </c>
      <c r="J266" s="5">
        <f ca="1">IFERROR(__xludf.DUMMYFUNCTION("""COMPUTED_VALUE"""),0)</f>
        <v>0</v>
      </c>
      <c r="K266" s="5">
        <f ca="1">IFERROR(__xludf.DUMMYFUNCTION("""COMPUTED_VALUE"""),0)</f>
        <v>0</v>
      </c>
      <c r="L266" s="5">
        <f ca="1">IFERROR(__xludf.DUMMYFUNCTION("""COMPUTED_VALUE"""),0)</f>
        <v>0</v>
      </c>
      <c r="M266">
        <f ca="1">IFERROR(__xludf.DUMMYFUNCTION("""COMPUTED_VALUE"""),3)</f>
        <v>3</v>
      </c>
      <c r="N266" s="8"/>
    </row>
    <row r="267" spans="1:14" ht="12.45" hidden="1">
      <c r="A267" t="str">
        <f ca="1">IFERROR(__xludf.DUMMYFUNCTION("""COMPUTED_VALUE"""),"III-2-233")</f>
        <v>III-2-233</v>
      </c>
      <c r="B267" t="str">
        <f ca="1">IFERROR(__xludf.DUMMYFUNCTION("""COMPUTED_VALUE"""),"Кузьмин")</f>
        <v>Кузьмин</v>
      </c>
      <c r="C267" t="str">
        <f ca="1">IFERROR(__xludf.DUMMYFUNCTION("""COMPUTED_VALUE"""),"Родион")</f>
        <v>Родион</v>
      </c>
      <c r="D267" t="str">
        <f ca="1">IFERROR(__xludf.DUMMYFUNCTION("""COMPUTED_VALUE"""),"Школа 129")</f>
        <v>Школа 129</v>
      </c>
      <c r="E267" s="5">
        <f ca="1">IFERROR(__xludf.DUMMYFUNCTION("""COMPUTED_VALUE"""),3)</f>
        <v>3</v>
      </c>
      <c r="F267" s="5">
        <f ca="1">IFERROR(__xludf.DUMMYFUNCTION("""COMPUTED_VALUE"""),0)</f>
        <v>0</v>
      </c>
      <c r="G267" s="5">
        <f ca="1">IFERROR(__xludf.DUMMYFUNCTION("""COMPUTED_VALUE"""),0)</f>
        <v>0</v>
      </c>
      <c r="H267" s="5">
        <f ca="1">IFERROR(__xludf.DUMMYFUNCTION("""COMPUTED_VALUE"""),0)</f>
        <v>0</v>
      </c>
      <c r="I267" s="5">
        <f ca="1">IFERROR(__xludf.DUMMYFUNCTION("""COMPUTED_VALUE"""),0)</f>
        <v>0</v>
      </c>
      <c r="J267" s="5">
        <f ca="1">IFERROR(__xludf.DUMMYFUNCTION("""COMPUTED_VALUE"""),0)</f>
        <v>0</v>
      </c>
      <c r="K267" s="5">
        <f ca="1">IFERROR(__xludf.DUMMYFUNCTION("""COMPUTED_VALUE"""),0)</f>
        <v>0</v>
      </c>
      <c r="L267" s="5">
        <f ca="1">IFERROR(__xludf.DUMMYFUNCTION("""COMPUTED_VALUE"""),0)</f>
        <v>0</v>
      </c>
      <c r="M267">
        <f ca="1">IFERROR(__xludf.DUMMYFUNCTION("""COMPUTED_VALUE"""),3)</f>
        <v>3</v>
      </c>
      <c r="N267" s="8"/>
    </row>
    <row r="268" spans="1:14" ht="12.45" hidden="1">
      <c r="A268" t="str">
        <f ca="1">IFERROR(__xludf.DUMMYFUNCTION("""COMPUTED_VALUE"""),"V-2-340")</f>
        <v>V-2-340</v>
      </c>
      <c r="B268" t="str">
        <f ca="1">IFERROR(__xludf.DUMMYFUNCTION("""COMPUTED_VALUE"""),"Полушина")</f>
        <v>Полушина</v>
      </c>
      <c r="C268" t="str">
        <f ca="1">IFERROR(__xludf.DUMMYFUNCTION("""COMPUTED_VALUE"""),"Екатерина")</f>
        <v>Екатерина</v>
      </c>
      <c r="D268" t="str">
        <f ca="1">IFERROR(__xludf.DUMMYFUNCTION("""COMPUTED_VALUE"""),"Лицей 470")</f>
        <v>Лицей 470</v>
      </c>
      <c r="E268" s="5">
        <f ca="1">IFERROR(__xludf.DUMMYFUNCTION("""COMPUTED_VALUE"""),3)</f>
        <v>3</v>
      </c>
      <c r="F268" s="5">
        <f ca="1">IFERROR(__xludf.DUMMYFUNCTION("""COMPUTED_VALUE"""),0)</f>
        <v>0</v>
      </c>
      <c r="G268" s="5">
        <f ca="1">IFERROR(__xludf.DUMMYFUNCTION("""COMPUTED_VALUE"""),0)</f>
        <v>0</v>
      </c>
      <c r="H268" s="5">
        <f ca="1">IFERROR(__xludf.DUMMYFUNCTION("""COMPUTED_VALUE"""),0)</f>
        <v>0</v>
      </c>
      <c r="I268" s="5">
        <f ca="1">IFERROR(__xludf.DUMMYFUNCTION("""COMPUTED_VALUE"""),0)</f>
        <v>0</v>
      </c>
      <c r="J268" s="5">
        <f ca="1">IFERROR(__xludf.DUMMYFUNCTION("""COMPUTED_VALUE"""),0)</f>
        <v>0</v>
      </c>
      <c r="K268" s="5">
        <f ca="1">IFERROR(__xludf.DUMMYFUNCTION("""COMPUTED_VALUE"""),0)</f>
        <v>0</v>
      </c>
      <c r="L268" s="5">
        <f ca="1">IFERROR(__xludf.DUMMYFUNCTION("""COMPUTED_VALUE"""),0)</f>
        <v>0</v>
      </c>
      <c r="M268">
        <f ca="1">IFERROR(__xludf.DUMMYFUNCTION("""COMPUTED_VALUE"""),3)</f>
        <v>3</v>
      </c>
      <c r="N268" s="8"/>
    </row>
    <row r="269" spans="1:14" ht="12.45" hidden="1">
      <c r="A269" t="str">
        <f ca="1">IFERROR(__xludf.DUMMYFUNCTION("""COMPUTED_VALUE"""),"III-2-136")</f>
        <v>III-2-136</v>
      </c>
      <c r="B269" t="str">
        <f ca="1">IFERROR(__xludf.DUMMYFUNCTION("""COMPUTED_VALUE"""),"Доржиева")</f>
        <v>Доржиева</v>
      </c>
      <c r="C269" t="str">
        <f ca="1">IFERROR(__xludf.DUMMYFUNCTION("""COMPUTED_VALUE"""),"Арьяна")</f>
        <v>Арьяна</v>
      </c>
      <c r="D269" t="str">
        <f ca="1">IFERROR(__xludf.DUMMYFUNCTION("""COMPUTED_VALUE"""),"Школа 1")</f>
        <v>Школа 1</v>
      </c>
      <c r="E269" s="5">
        <f ca="1">IFERROR(__xludf.DUMMYFUNCTION("""COMPUTED_VALUE"""),3)</f>
        <v>3</v>
      </c>
      <c r="F269" s="5">
        <f ca="1">IFERROR(__xludf.DUMMYFUNCTION("""COMPUTED_VALUE"""),0)</f>
        <v>0</v>
      </c>
      <c r="G269" s="5">
        <f ca="1">IFERROR(__xludf.DUMMYFUNCTION("""COMPUTED_VALUE"""),0)</f>
        <v>0</v>
      </c>
      <c r="H269" s="5">
        <f ca="1">IFERROR(__xludf.DUMMYFUNCTION("""COMPUTED_VALUE"""),0)</f>
        <v>0</v>
      </c>
      <c r="I269" s="5">
        <f ca="1">IFERROR(__xludf.DUMMYFUNCTION("""COMPUTED_VALUE"""),0)</f>
        <v>0</v>
      </c>
      <c r="J269" s="5">
        <f ca="1">IFERROR(__xludf.DUMMYFUNCTION("""COMPUTED_VALUE"""),0)</f>
        <v>0</v>
      </c>
      <c r="K269" s="5">
        <f ca="1">IFERROR(__xludf.DUMMYFUNCTION("""COMPUTED_VALUE"""),0)</f>
        <v>0</v>
      </c>
      <c r="L269" s="5">
        <f ca="1">IFERROR(__xludf.DUMMYFUNCTION("""COMPUTED_VALUE"""),0)</f>
        <v>0</v>
      </c>
      <c r="M269">
        <f ca="1">IFERROR(__xludf.DUMMYFUNCTION("""COMPUTED_VALUE"""),3)</f>
        <v>3</v>
      </c>
      <c r="N269" s="8"/>
    </row>
    <row r="270" spans="1:14" ht="12.45" hidden="1">
      <c r="A270" t="str">
        <f ca="1">IFERROR(__xludf.DUMMYFUNCTION("""COMPUTED_VALUE"""),"V-2-459")</f>
        <v>V-2-459</v>
      </c>
      <c r="B270" t="str">
        <f ca="1">IFERROR(__xludf.DUMMYFUNCTION("""COMPUTED_VALUE"""),"Чигарьков")</f>
        <v>Чигарьков</v>
      </c>
      <c r="C270" t="str">
        <f ca="1">IFERROR(__xludf.DUMMYFUNCTION("""COMPUTED_VALUE"""),"Артём")</f>
        <v>Артём</v>
      </c>
      <c r="D270" t="str">
        <f ca="1">IFERROR(__xludf.DUMMYFUNCTION("""COMPUTED_VALUE"""),"Школа 489")</f>
        <v>Школа 489</v>
      </c>
      <c r="E270" s="5">
        <f ca="1">IFERROR(__xludf.DUMMYFUNCTION("""COMPUTED_VALUE"""),3)</f>
        <v>3</v>
      </c>
      <c r="F270" s="5">
        <f ca="1">IFERROR(__xludf.DUMMYFUNCTION("""COMPUTED_VALUE"""),0)</f>
        <v>0</v>
      </c>
      <c r="G270" s="5">
        <f ca="1">IFERROR(__xludf.DUMMYFUNCTION("""COMPUTED_VALUE"""),0)</f>
        <v>0</v>
      </c>
      <c r="H270" s="5">
        <f ca="1">IFERROR(__xludf.DUMMYFUNCTION("""COMPUTED_VALUE"""),0)</f>
        <v>0</v>
      </c>
      <c r="I270" s="5">
        <f ca="1">IFERROR(__xludf.DUMMYFUNCTION("""COMPUTED_VALUE"""),0)</f>
        <v>0</v>
      </c>
      <c r="J270" s="5">
        <f ca="1">IFERROR(__xludf.DUMMYFUNCTION("""COMPUTED_VALUE"""),0)</f>
        <v>0</v>
      </c>
      <c r="K270" s="5">
        <f ca="1">IFERROR(__xludf.DUMMYFUNCTION("""COMPUTED_VALUE"""),0)</f>
        <v>0</v>
      </c>
      <c r="L270" s="5">
        <f ca="1">IFERROR(__xludf.DUMMYFUNCTION("""COMPUTED_VALUE"""),0)</f>
        <v>0</v>
      </c>
      <c r="M270">
        <f ca="1">IFERROR(__xludf.DUMMYFUNCTION("""COMPUTED_VALUE"""),3)</f>
        <v>3</v>
      </c>
      <c r="N270" s="8"/>
    </row>
    <row r="271" spans="1:14" ht="12.45" hidden="1">
      <c r="A271" t="str">
        <f ca="1">IFERROR(__xludf.DUMMYFUNCTION("""COMPUTED_VALUE"""),"V-2-392")</f>
        <v>V-2-392</v>
      </c>
      <c r="B271" t="str">
        <f ca="1">IFERROR(__xludf.DUMMYFUNCTION("""COMPUTED_VALUE"""),"Синицын")</f>
        <v>Синицын</v>
      </c>
      <c r="C271" t="str">
        <f ca="1">IFERROR(__xludf.DUMMYFUNCTION("""COMPUTED_VALUE"""),"Вячеслав")</f>
        <v>Вячеслав</v>
      </c>
      <c r="D271" t="str">
        <f ca="1">IFERROR(__xludf.DUMMYFUNCTION("""COMPUTED_VALUE"""),"Школа 655")</f>
        <v>Школа 655</v>
      </c>
      <c r="E271" s="5">
        <f ca="1">IFERROR(__xludf.DUMMYFUNCTION("""COMPUTED_VALUE"""),3)</f>
        <v>3</v>
      </c>
      <c r="F271" s="5">
        <f ca="1">IFERROR(__xludf.DUMMYFUNCTION("""COMPUTED_VALUE"""),0)</f>
        <v>0</v>
      </c>
      <c r="G271" s="5">
        <f ca="1">IFERROR(__xludf.DUMMYFUNCTION("""COMPUTED_VALUE"""),0)</f>
        <v>0</v>
      </c>
      <c r="H271" s="5">
        <f ca="1">IFERROR(__xludf.DUMMYFUNCTION("""COMPUTED_VALUE"""),0)</f>
        <v>0</v>
      </c>
      <c r="I271" s="5">
        <f ca="1">IFERROR(__xludf.DUMMYFUNCTION("""COMPUTED_VALUE"""),0)</f>
        <v>0</v>
      </c>
      <c r="J271" s="5">
        <f ca="1">IFERROR(__xludf.DUMMYFUNCTION("""COMPUTED_VALUE"""),0)</f>
        <v>0</v>
      </c>
      <c r="K271" s="5">
        <f ca="1">IFERROR(__xludf.DUMMYFUNCTION("""COMPUTED_VALUE"""),0)</f>
        <v>0</v>
      </c>
      <c r="L271" s="5">
        <f ca="1">IFERROR(__xludf.DUMMYFUNCTION("""COMPUTED_VALUE"""),0)</f>
        <v>0</v>
      </c>
      <c r="M271">
        <f ca="1">IFERROR(__xludf.DUMMYFUNCTION("""COMPUTED_VALUE"""),3)</f>
        <v>3</v>
      </c>
      <c r="N271" s="8"/>
    </row>
    <row r="272" spans="1:14" ht="12.45" hidden="1">
      <c r="A272" t="str">
        <f ca="1">IFERROR(__xludf.DUMMYFUNCTION("""COMPUTED_VALUE"""),"III-2-220")</f>
        <v>III-2-220</v>
      </c>
      <c r="B272" t="str">
        <f ca="1">IFERROR(__xludf.DUMMYFUNCTION("""COMPUTED_VALUE"""),"Корбатова")</f>
        <v>Корбатова</v>
      </c>
      <c r="C272" t="str">
        <f ca="1">IFERROR(__xludf.DUMMYFUNCTION("""COMPUTED_VALUE"""),"Елизавета")</f>
        <v>Елизавета</v>
      </c>
      <c r="D272" t="str">
        <f ca="1">IFERROR(__xludf.DUMMYFUNCTION("""COMPUTED_VALUE"""),"Гимназия 271")</f>
        <v>Гимназия 271</v>
      </c>
      <c r="E272" s="5">
        <f ca="1">IFERROR(__xludf.DUMMYFUNCTION("""COMPUTED_VALUE"""),3)</f>
        <v>3</v>
      </c>
      <c r="F272" s="5">
        <f ca="1">IFERROR(__xludf.DUMMYFUNCTION("""COMPUTED_VALUE"""),0)</f>
        <v>0</v>
      </c>
      <c r="G272" s="5">
        <f ca="1">IFERROR(__xludf.DUMMYFUNCTION("""COMPUTED_VALUE"""),0)</f>
        <v>0</v>
      </c>
      <c r="H272" s="5">
        <f ca="1">IFERROR(__xludf.DUMMYFUNCTION("""COMPUTED_VALUE"""),0)</f>
        <v>0</v>
      </c>
      <c r="I272" s="5">
        <f ca="1">IFERROR(__xludf.DUMMYFUNCTION("""COMPUTED_VALUE"""),0)</f>
        <v>0</v>
      </c>
      <c r="J272" s="5">
        <f ca="1">IFERROR(__xludf.DUMMYFUNCTION("""COMPUTED_VALUE"""),0)</f>
        <v>0</v>
      </c>
      <c r="K272" s="5">
        <f ca="1">IFERROR(__xludf.DUMMYFUNCTION("""COMPUTED_VALUE"""),0)</f>
        <v>0</v>
      </c>
      <c r="L272" s="5">
        <f ca="1">IFERROR(__xludf.DUMMYFUNCTION("""COMPUTED_VALUE"""),0)</f>
        <v>0</v>
      </c>
      <c r="M272">
        <f ca="1">IFERROR(__xludf.DUMMYFUNCTION("""COMPUTED_VALUE"""),3)</f>
        <v>3</v>
      </c>
      <c r="N272" s="8"/>
    </row>
    <row r="273" spans="1:14" ht="12.45" hidden="1">
      <c r="A273" t="str">
        <f ca="1">IFERROR(__xludf.DUMMYFUNCTION("""COMPUTED_VALUE"""),"III-2-122")</f>
        <v>III-2-122</v>
      </c>
      <c r="B273" t="str">
        <f ca="1">IFERROR(__xludf.DUMMYFUNCTION("""COMPUTED_VALUE"""),"Густайтис")</f>
        <v>Густайтис</v>
      </c>
      <c r="C273" t="str">
        <f ca="1">IFERROR(__xludf.DUMMYFUNCTION("""COMPUTED_VALUE"""),"Вероника")</f>
        <v>Вероника</v>
      </c>
      <c r="D273" t="str">
        <f ca="1">IFERROR(__xludf.DUMMYFUNCTION("""COMPUTED_VALUE"""),"Гимназия Гимназия 271 им. П.И. Федулова")</f>
        <v>Гимназия Гимназия 271 им. П.И. Федулова</v>
      </c>
      <c r="E273" s="5">
        <f ca="1">IFERROR(__xludf.DUMMYFUNCTION("""COMPUTED_VALUE"""),3)</f>
        <v>3</v>
      </c>
      <c r="F273" s="5">
        <f ca="1">IFERROR(__xludf.DUMMYFUNCTION("""COMPUTED_VALUE"""),0)</f>
        <v>0</v>
      </c>
      <c r="G273" s="5">
        <f ca="1">IFERROR(__xludf.DUMMYFUNCTION("""COMPUTED_VALUE"""),0)</f>
        <v>0</v>
      </c>
      <c r="H273" s="5">
        <f ca="1">IFERROR(__xludf.DUMMYFUNCTION("""COMPUTED_VALUE"""),0)</f>
        <v>0</v>
      </c>
      <c r="I273" s="5">
        <f ca="1">IFERROR(__xludf.DUMMYFUNCTION("""COMPUTED_VALUE"""),0)</f>
        <v>0</v>
      </c>
      <c r="J273" s="5">
        <f ca="1">IFERROR(__xludf.DUMMYFUNCTION("""COMPUTED_VALUE"""),0)</f>
        <v>0</v>
      </c>
      <c r="K273" s="5">
        <f ca="1">IFERROR(__xludf.DUMMYFUNCTION("""COMPUTED_VALUE"""),0)</f>
        <v>0</v>
      </c>
      <c r="L273" s="5">
        <f ca="1">IFERROR(__xludf.DUMMYFUNCTION("""COMPUTED_VALUE"""),0)</f>
        <v>0</v>
      </c>
      <c r="M273">
        <f ca="1">IFERROR(__xludf.DUMMYFUNCTION("""COMPUTED_VALUE"""),3)</f>
        <v>3</v>
      </c>
      <c r="N273" s="8"/>
    </row>
    <row r="274" spans="1:14" ht="12.45" hidden="1">
      <c r="A274" t="str">
        <f ca="1">IFERROR(__xludf.DUMMYFUNCTION("""COMPUTED_VALUE"""),"V-2-341")</f>
        <v>V-2-341</v>
      </c>
      <c r="B274" t="str">
        <f ca="1">IFERROR(__xludf.DUMMYFUNCTION("""COMPUTED_VALUE"""),"Полушкин")</f>
        <v>Полушкин</v>
      </c>
      <c r="C274" t="str">
        <f ca="1">IFERROR(__xludf.DUMMYFUNCTION("""COMPUTED_VALUE"""),"Егор")</f>
        <v>Егор</v>
      </c>
      <c r="D274" t="str">
        <f ca="1">IFERROR(__xludf.DUMMYFUNCTION("""COMPUTED_VALUE"""),"Гимназия 271")</f>
        <v>Гимназия 271</v>
      </c>
      <c r="E274" s="5">
        <f ca="1">IFERROR(__xludf.DUMMYFUNCTION("""COMPUTED_VALUE"""),3)</f>
        <v>3</v>
      </c>
      <c r="F274" s="5">
        <f ca="1">IFERROR(__xludf.DUMMYFUNCTION("""COMPUTED_VALUE"""),0)</f>
        <v>0</v>
      </c>
      <c r="G274" s="5">
        <f ca="1">IFERROR(__xludf.DUMMYFUNCTION("""COMPUTED_VALUE"""),0)</f>
        <v>0</v>
      </c>
      <c r="H274" s="5">
        <f ca="1">IFERROR(__xludf.DUMMYFUNCTION("""COMPUTED_VALUE"""),0)</f>
        <v>0</v>
      </c>
      <c r="I274" s="5">
        <f ca="1">IFERROR(__xludf.DUMMYFUNCTION("""COMPUTED_VALUE"""),0)</f>
        <v>0</v>
      </c>
      <c r="J274" s="5">
        <f ca="1">IFERROR(__xludf.DUMMYFUNCTION("""COMPUTED_VALUE"""),0)</f>
        <v>0</v>
      </c>
      <c r="K274" s="5">
        <f ca="1">IFERROR(__xludf.DUMMYFUNCTION("""COMPUTED_VALUE"""),0)</f>
        <v>0</v>
      </c>
      <c r="L274" s="5">
        <f ca="1">IFERROR(__xludf.DUMMYFUNCTION("""COMPUTED_VALUE"""),0)</f>
        <v>0</v>
      </c>
      <c r="M274">
        <f ca="1">IFERROR(__xludf.DUMMYFUNCTION("""COMPUTED_VALUE"""),3)</f>
        <v>3</v>
      </c>
      <c r="N274" s="8"/>
    </row>
    <row r="275" spans="1:14" ht="12.45" hidden="1">
      <c r="A275" t="str">
        <f ca="1">IFERROR(__xludf.DUMMYFUNCTION("""COMPUTED_VALUE"""),"III-2-057")</f>
        <v>III-2-057</v>
      </c>
      <c r="B275" t="str">
        <f ca="1">IFERROR(__xludf.DUMMYFUNCTION("""COMPUTED_VALUE"""),"Бойцов")</f>
        <v>Бойцов</v>
      </c>
      <c r="C275" t="str">
        <f ca="1">IFERROR(__xludf.DUMMYFUNCTION("""COMPUTED_VALUE"""),"Денис")</f>
        <v>Денис</v>
      </c>
      <c r="D275" t="str">
        <f ca="1">IFERROR(__xludf.DUMMYFUNCTION("""COMPUTED_VALUE"""),"Школа Фрактал")</f>
        <v>Школа Фрактал</v>
      </c>
      <c r="E275" s="5">
        <f ca="1">IFERROR(__xludf.DUMMYFUNCTION("""COMPUTED_VALUE"""),3)</f>
        <v>3</v>
      </c>
      <c r="F275" s="5">
        <f ca="1">IFERROR(__xludf.DUMMYFUNCTION("""COMPUTED_VALUE"""),0)</f>
        <v>0</v>
      </c>
      <c r="G275" s="5">
        <f ca="1">IFERROR(__xludf.DUMMYFUNCTION("""COMPUTED_VALUE"""),0)</f>
        <v>0</v>
      </c>
      <c r="H275" s="5">
        <f ca="1">IFERROR(__xludf.DUMMYFUNCTION("""COMPUTED_VALUE"""),0)</f>
        <v>0</v>
      </c>
      <c r="I275" s="5">
        <f ca="1">IFERROR(__xludf.DUMMYFUNCTION("""COMPUTED_VALUE"""),0)</f>
        <v>0</v>
      </c>
      <c r="J275" s="5">
        <f ca="1">IFERROR(__xludf.DUMMYFUNCTION("""COMPUTED_VALUE"""),0)</f>
        <v>0</v>
      </c>
      <c r="K275" s="5">
        <f ca="1">IFERROR(__xludf.DUMMYFUNCTION("""COMPUTED_VALUE"""),0)</f>
        <v>0</v>
      </c>
      <c r="L275" s="5">
        <f ca="1">IFERROR(__xludf.DUMMYFUNCTION("""COMPUTED_VALUE"""),0)</f>
        <v>0</v>
      </c>
      <c r="M275">
        <f ca="1">IFERROR(__xludf.DUMMYFUNCTION("""COMPUTED_VALUE"""),3)</f>
        <v>3</v>
      </c>
      <c r="N275" s="8"/>
    </row>
    <row r="276" spans="1:14" ht="12.45" hidden="1">
      <c r="A276" t="str">
        <f ca="1">IFERROR(__xludf.DUMMYFUNCTION("""COMPUTED_VALUE"""),"V-2-395")</f>
        <v>V-2-395</v>
      </c>
      <c r="B276" t="str">
        <f ca="1">IFERROR(__xludf.DUMMYFUNCTION("""COMPUTED_VALUE"""),"Сладков")</f>
        <v>Сладков</v>
      </c>
      <c r="C276" t="str">
        <f ca="1">IFERROR(__xludf.DUMMYFUNCTION("""COMPUTED_VALUE"""),"Егор")</f>
        <v>Егор</v>
      </c>
      <c r="D276" t="str">
        <f ca="1">IFERROR(__xludf.DUMMYFUNCTION("""COMPUTED_VALUE"""),"Школа 482")</f>
        <v>Школа 482</v>
      </c>
      <c r="E276" s="5">
        <f ca="1">IFERROR(__xludf.DUMMYFUNCTION("""COMPUTED_VALUE"""),3)</f>
        <v>3</v>
      </c>
      <c r="F276" s="5">
        <f ca="1">IFERROR(__xludf.DUMMYFUNCTION("""COMPUTED_VALUE"""),0)</f>
        <v>0</v>
      </c>
      <c r="G276" s="5">
        <f ca="1">IFERROR(__xludf.DUMMYFUNCTION("""COMPUTED_VALUE"""),0)</f>
        <v>0</v>
      </c>
      <c r="H276" s="5">
        <f ca="1">IFERROR(__xludf.DUMMYFUNCTION("""COMPUTED_VALUE"""),0)</f>
        <v>0</v>
      </c>
      <c r="I276" s="5">
        <f ca="1">IFERROR(__xludf.DUMMYFUNCTION("""COMPUTED_VALUE"""),0)</f>
        <v>0</v>
      </c>
      <c r="J276" s="5">
        <f ca="1">IFERROR(__xludf.DUMMYFUNCTION("""COMPUTED_VALUE"""),0)</f>
        <v>0</v>
      </c>
      <c r="K276" s="5">
        <f ca="1">IFERROR(__xludf.DUMMYFUNCTION("""COMPUTED_VALUE"""),0)</f>
        <v>0</v>
      </c>
      <c r="L276" s="5">
        <f ca="1">IFERROR(__xludf.DUMMYFUNCTION("""COMPUTED_VALUE"""),0)</f>
        <v>0</v>
      </c>
      <c r="M276">
        <f ca="1">IFERROR(__xludf.DUMMYFUNCTION("""COMPUTED_VALUE"""),3)</f>
        <v>3</v>
      </c>
      <c r="N276" s="8"/>
    </row>
    <row r="277" spans="1:14" ht="12.45" hidden="1">
      <c r="A277" t="str">
        <f ca="1">IFERROR(__xludf.DUMMYFUNCTION("""COMPUTED_VALUE"""),"III-2-060")</f>
        <v>III-2-060</v>
      </c>
      <c r="B277" t="str">
        <f ca="1">IFERROR(__xludf.DUMMYFUNCTION("""COMPUTED_VALUE"""),"Бочков")</f>
        <v>Бочков</v>
      </c>
      <c r="C277" t="str">
        <f ca="1">IFERROR(__xludf.DUMMYFUNCTION("""COMPUTED_VALUE"""),"Георгий")</f>
        <v>Георгий</v>
      </c>
      <c r="D277" t="str">
        <f ca="1">IFERROR(__xludf.DUMMYFUNCTION("""COMPUTED_VALUE"""),"Гимназия 196")</f>
        <v>Гимназия 196</v>
      </c>
      <c r="E277" s="5">
        <f ca="1">IFERROR(__xludf.DUMMYFUNCTION("""COMPUTED_VALUE"""),3)</f>
        <v>3</v>
      </c>
      <c r="F277" s="5">
        <f ca="1">IFERROR(__xludf.DUMMYFUNCTION("""COMPUTED_VALUE"""),0)</f>
        <v>0</v>
      </c>
      <c r="G277" s="5">
        <f ca="1">IFERROR(__xludf.DUMMYFUNCTION("""COMPUTED_VALUE"""),0)</f>
        <v>0</v>
      </c>
      <c r="H277" s="5">
        <f ca="1">IFERROR(__xludf.DUMMYFUNCTION("""COMPUTED_VALUE"""),0)</f>
        <v>0</v>
      </c>
      <c r="I277" s="5">
        <f ca="1">IFERROR(__xludf.DUMMYFUNCTION("""COMPUTED_VALUE"""),0)</f>
        <v>0</v>
      </c>
      <c r="J277" s="5">
        <f ca="1">IFERROR(__xludf.DUMMYFUNCTION("""COMPUTED_VALUE"""),0)</f>
        <v>0</v>
      </c>
      <c r="K277" s="5">
        <f ca="1">IFERROR(__xludf.DUMMYFUNCTION("""COMPUTED_VALUE"""),0)</f>
        <v>0</v>
      </c>
      <c r="L277" s="5">
        <f ca="1">IFERROR(__xludf.DUMMYFUNCTION("""COMPUTED_VALUE"""),0)</f>
        <v>0</v>
      </c>
      <c r="M277">
        <f ca="1">IFERROR(__xludf.DUMMYFUNCTION("""COMPUTED_VALUE"""),3)</f>
        <v>3</v>
      </c>
      <c r="N277" s="8"/>
    </row>
    <row r="278" spans="1:14" ht="12.45" hidden="1">
      <c r="A278" t="str">
        <f ca="1">IFERROR(__xludf.DUMMYFUNCTION("""COMPUTED_VALUE"""),"V-2-393")</f>
        <v>V-2-393</v>
      </c>
      <c r="B278" t="str">
        <f ca="1">IFERROR(__xludf.DUMMYFUNCTION("""COMPUTED_VALUE"""),"Скворцов")</f>
        <v>Скворцов</v>
      </c>
      <c r="C278" t="str">
        <f ca="1">IFERROR(__xludf.DUMMYFUNCTION("""COMPUTED_VALUE"""),"Роман")</f>
        <v>Роман</v>
      </c>
      <c r="D278" t="str">
        <f ca="1">IFERROR(__xludf.DUMMYFUNCTION("""COMPUTED_VALUE"""),"Школа 635")</f>
        <v>Школа 635</v>
      </c>
      <c r="E278" s="5">
        <f ca="1">IFERROR(__xludf.DUMMYFUNCTION("""COMPUTED_VALUE"""),2)</f>
        <v>2</v>
      </c>
      <c r="F278" s="5">
        <f ca="1">IFERROR(__xludf.DUMMYFUNCTION("""COMPUTED_VALUE"""),1)</f>
        <v>1</v>
      </c>
      <c r="G278" s="5">
        <f ca="1">IFERROR(__xludf.DUMMYFUNCTION("""COMPUTED_VALUE"""),0)</f>
        <v>0</v>
      </c>
      <c r="H278" s="5">
        <f ca="1">IFERROR(__xludf.DUMMYFUNCTION("""COMPUTED_VALUE"""),0)</f>
        <v>0</v>
      </c>
      <c r="I278" s="5">
        <f ca="1">IFERROR(__xludf.DUMMYFUNCTION("""COMPUTED_VALUE"""),0)</f>
        <v>0</v>
      </c>
      <c r="J278" s="5">
        <f ca="1">IFERROR(__xludf.DUMMYFUNCTION("""COMPUTED_VALUE"""),0)</f>
        <v>0</v>
      </c>
      <c r="K278" s="5">
        <f ca="1">IFERROR(__xludf.DUMMYFUNCTION("""COMPUTED_VALUE"""),0)</f>
        <v>0</v>
      </c>
      <c r="L278" s="5">
        <f ca="1">IFERROR(__xludf.DUMMYFUNCTION("""COMPUTED_VALUE"""),0)</f>
        <v>0</v>
      </c>
      <c r="M278">
        <f ca="1">IFERROR(__xludf.DUMMYFUNCTION("""COMPUTED_VALUE"""),3)</f>
        <v>3</v>
      </c>
      <c r="N278" s="8"/>
    </row>
    <row r="279" spans="1:14" ht="12.45" hidden="1">
      <c r="A279" t="str">
        <f ca="1">IFERROR(__xludf.DUMMYFUNCTION("""COMPUTED_VALUE"""),"V-2-415")</f>
        <v>V-2-415</v>
      </c>
      <c r="B279" t="str">
        <f ca="1">IFERROR(__xludf.DUMMYFUNCTION("""COMPUTED_VALUE"""),"Строганова")</f>
        <v>Строганова</v>
      </c>
      <c r="C279" t="str">
        <f ca="1">IFERROR(__xludf.DUMMYFUNCTION("""COMPUTED_VALUE"""),"Василиса")</f>
        <v>Василиса</v>
      </c>
      <c r="D279" t="str">
        <f ca="1">IFERROR(__xludf.DUMMYFUNCTION("""COMPUTED_VALUE"""),"Гимназия 363")</f>
        <v>Гимназия 363</v>
      </c>
      <c r="E279" s="5">
        <f ca="1">IFERROR(__xludf.DUMMYFUNCTION("""COMPUTED_VALUE"""),3)</f>
        <v>3</v>
      </c>
      <c r="F279" s="5">
        <f ca="1">IFERROR(__xludf.DUMMYFUNCTION("""COMPUTED_VALUE"""),0)</f>
        <v>0</v>
      </c>
      <c r="G279" s="5">
        <f ca="1">IFERROR(__xludf.DUMMYFUNCTION("""COMPUTED_VALUE"""),0)</f>
        <v>0</v>
      </c>
      <c r="H279" s="5">
        <f ca="1">IFERROR(__xludf.DUMMYFUNCTION("""COMPUTED_VALUE"""),0)</f>
        <v>0</v>
      </c>
      <c r="I279" s="5">
        <f ca="1">IFERROR(__xludf.DUMMYFUNCTION("""COMPUTED_VALUE"""),0)</f>
        <v>0</v>
      </c>
      <c r="J279" s="5">
        <f ca="1">IFERROR(__xludf.DUMMYFUNCTION("""COMPUTED_VALUE"""),0)</f>
        <v>0</v>
      </c>
      <c r="K279" s="5">
        <f ca="1">IFERROR(__xludf.DUMMYFUNCTION("""COMPUTED_VALUE"""),0)</f>
        <v>0</v>
      </c>
      <c r="L279" s="5">
        <f ca="1">IFERROR(__xludf.DUMMYFUNCTION("""COMPUTED_VALUE"""),0)</f>
        <v>0</v>
      </c>
      <c r="M279">
        <f ca="1">IFERROR(__xludf.DUMMYFUNCTION("""COMPUTED_VALUE"""),3)</f>
        <v>3</v>
      </c>
      <c r="N279" s="8"/>
    </row>
    <row r="280" spans="1:14" ht="12.45" hidden="1">
      <c r="A280" t="str">
        <f ca="1">IFERROR(__xludf.DUMMYFUNCTION("""COMPUTED_VALUE"""),"III-2-188")</f>
        <v>III-2-188</v>
      </c>
      <c r="B280" t="str">
        <f ca="1">IFERROR(__xludf.DUMMYFUNCTION("""COMPUTED_VALUE"""),"Калина")</f>
        <v>Калина</v>
      </c>
      <c r="C280" t="str">
        <f ca="1">IFERROR(__xludf.DUMMYFUNCTION("""COMPUTED_VALUE"""),"Дарья")</f>
        <v>Дарья</v>
      </c>
      <c r="D280" t="str">
        <f ca="1">IFERROR(__xludf.DUMMYFUNCTION("""COMPUTED_VALUE"""),"Школа 106")</f>
        <v>Школа 106</v>
      </c>
      <c r="E280" s="5">
        <f ca="1">IFERROR(__xludf.DUMMYFUNCTION("""COMPUTED_VALUE"""),0)</f>
        <v>0</v>
      </c>
      <c r="F280" s="5">
        <f ca="1">IFERROR(__xludf.DUMMYFUNCTION("""COMPUTED_VALUE"""),0)</f>
        <v>0</v>
      </c>
      <c r="G280" s="5">
        <f ca="1">IFERROR(__xludf.DUMMYFUNCTION("""COMPUTED_VALUE"""),0)</f>
        <v>0</v>
      </c>
      <c r="H280" s="5">
        <f ca="1">IFERROR(__xludf.DUMMYFUNCTION("""COMPUTED_VALUE"""),0)</f>
        <v>0</v>
      </c>
      <c r="I280" s="5">
        <f ca="1">IFERROR(__xludf.DUMMYFUNCTION("""COMPUTED_VALUE"""),0)</f>
        <v>0</v>
      </c>
      <c r="J280" s="5">
        <f ca="1">IFERROR(__xludf.DUMMYFUNCTION("""COMPUTED_VALUE"""),2)</f>
        <v>2</v>
      </c>
      <c r="K280" s="5">
        <f ca="1">IFERROR(__xludf.DUMMYFUNCTION("""COMPUTED_VALUE"""),0)</f>
        <v>0</v>
      </c>
      <c r="L280" s="5">
        <f ca="1">IFERROR(__xludf.DUMMYFUNCTION("""COMPUTED_VALUE"""),0)</f>
        <v>0</v>
      </c>
      <c r="M280">
        <f ca="1">IFERROR(__xludf.DUMMYFUNCTION("""COMPUTED_VALUE"""),2)</f>
        <v>2</v>
      </c>
      <c r="N280" s="8"/>
    </row>
    <row r="281" spans="1:14" ht="12.45" hidden="1">
      <c r="A281" t="str">
        <f ca="1">IFERROR(__xludf.DUMMYFUNCTION("""COMPUTED_VALUE"""),"V-2-249")</f>
        <v>V-2-249</v>
      </c>
      <c r="B281" t="str">
        <f ca="1">IFERROR(__xludf.DUMMYFUNCTION("""COMPUTED_VALUE"""),"Лебедева")</f>
        <v>Лебедева</v>
      </c>
      <c r="C281" t="str">
        <f ca="1">IFERROR(__xludf.DUMMYFUNCTION("""COMPUTED_VALUE"""),"Антонина")</f>
        <v>Антонина</v>
      </c>
      <c r="D281" t="str">
        <f ca="1">IFERROR(__xludf.DUMMYFUNCTION("""COMPUTED_VALUE"""),"Школа 340")</f>
        <v>Школа 340</v>
      </c>
      <c r="E281" s="5">
        <f ca="1">IFERROR(__xludf.DUMMYFUNCTION("""COMPUTED_VALUE"""),0)</f>
        <v>0</v>
      </c>
      <c r="F281" s="5">
        <f ca="1">IFERROR(__xludf.DUMMYFUNCTION("""COMPUTED_VALUE"""),0)</f>
        <v>0</v>
      </c>
      <c r="G281" s="5">
        <f ca="1">IFERROR(__xludf.DUMMYFUNCTION("""COMPUTED_VALUE"""),0)</f>
        <v>0</v>
      </c>
      <c r="H281" s="5">
        <f ca="1">IFERROR(__xludf.DUMMYFUNCTION("""COMPUTED_VALUE"""),2)</f>
        <v>2</v>
      </c>
      <c r="I281" s="5">
        <f ca="1">IFERROR(__xludf.DUMMYFUNCTION("""COMPUTED_VALUE"""),0)</f>
        <v>0</v>
      </c>
      <c r="J281" s="5">
        <f ca="1">IFERROR(__xludf.DUMMYFUNCTION("""COMPUTED_VALUE"""),0)</f>
        <v>0</v>
      </c>
      <c r="K281" s="5">
        <f ca="1">IFERROR(__xludf.DUMMYFUNCTION("""COMPUTED_VALUE"""),0)</f>
        <v>0</v>
      </c>
      <c r="L281" s="5">
        <f ca="1">IFERROR(__xludf.DUMMYFUNCTION("""COMPUTED_VALUE"""),0)</f>
        <v>0</v>
      </c>
      <c r="M281">
        <f ca="1">IFERROR(__xludf.DUMMYFUNCTION("""COMPUTED_VALUE"""),2)</f>
        <v>2</v>
      </c>
      <c r="N281" s="8"/>
    </row>
    <row r="282" spans="1:14" ht="12.45" hidden="1">
      <c r="A282" t="str">
        <f ca="1">IFERROR(__xludf.DUMMYFUNCTION("""COMPUTED_VALUE"""),"V-2-253")</f>
        <v>V-2-253</v>
      </c>
      <c r="B282" t="str">
        <f ca="1">IFERROR(__xludf.DUMMYFUNCTION("""COMPUTED_VALUE"""),"Лепехин")</f>
        <v>Лепехин</v>
      </c>
      <c r="C282" t="str">
        <f ca="1">IFERROR(__xludf.DUMMYFUNCTION("""COMPUTED_VALUE"""),"Егор")</f>
        <v>Егор</v>
      </c>
      <c r="D282" t="str">
        <f ca="1">IFERROR(__xludf.DUMMYFUNCTION("""COMPUTED_VALUE"""),"Лицей 101")</f>
        <v>Лицей 101</v>
      </c>
      <c r="E282" s="5">
        <f ca="1">IFERROR(__xludf.DUMMYFUNCTION("""COMPUTED_VALUE"""),0)</f>
        <v>0</v>
      </c>
      <c r="F282" s="5">
        <f ca="1">IFERROR(__xludf.DUMMYFUNCTION("""COMPUTED_VALUE"""),0)</f>
        <v>0</v>
      </c>
      <c r="G282" s="5">
        <f ca="1">IFERROR(__xludf.DUMMYFUNCTION("""COMPUTED_VALUE"""),0)</f>
        <v>0</v>
      </c>
      <c r="H282" s="5">
        <f ca="1">IFERROR(__xludf.DUMMYFUNCTION("""COMPUTED_VALUE"""),2)</f>
        <v>2</v>
      </c>
      <c r="I282" s="5">
        <f ca="1">IFERROR(__xludf.DUMMYFUNCTION("""COMPUTED_VALUE"""),0)</f>
        <v>0</v>
      </c>
      <c r="J282" s="5">
        <f ca="1">IFERROR(__xludf.DUMMYFUNCTION("""COMPUTED_VALUE"""),0)</f>
        <v>0</v>
      </c>
      <c r="K282" s="5">
        <f ca="1">IFERROR(__xludf.DUMMYFUNCTION("""COMPUTED_VALUE"""),0)</f>
        <v>0</v>
      </c>
      <c r="L282" s="5">
        <f ca="1">IFERROR(__xludf.DUMMYFUNCTION("""COMPUTED_VALUE"""),0)</f>
        <v>0</v>
      </c>
      <c r="M282">
        <f ca="1">IFERROR(__xludf.DUMMYFUNCTION("""COMPUTED_VALUE"""),2)</f>
        <v>2</v>
      </c>
      <c r="N282" s="8"/>
    </row>
    <row r="283" spans="1:14" ht="12.45" hidden="1">
      <c r="A283" t="str">
        <f ca="1">IFERROR(__xludf.DUMMYFUNCTION("""COMPUTED_VALUE"""),"III-2-187")</f>
        <v>III-2-187</v>
      </c>
      <c r="B283" t="str">
        <f ca="1">IFERROR(__xludf.DUMMYFUNCTION("""COMPUTED_VALUE"""),"Кадырова")</f>
        <v>Кадырова</v>
      </c>
      <c r="C283" t="str">
        <f ca="1">IFERROR(__xludf.DUMMYFUNCTION("""COMPUTED_VALUE"""),"Карина")</f>
        <v>Карина</v>
      </c>
      <c r="D283" t="str">
        <f ca="1">IFERROR(__xludf.DUMMYFUNCTION("""COMPUTED_VALUE"""),"Лицей 344")</f>
        <v>Лицей 344</v>
      </c>
      <c r="E283" s="5">
        <f ca="1">IFERROR(__xludf.DUMMYFUNCTION("""COMPUTED_VALUE"""),1)</f>
        <v>1</v>
      </c>
      <c r="F283" s="5">
        <f ca="1">IFERROR(__xludf.DUMMYFUNCTION("""COMPUTED_VALUE"""),0)</f>
        <v>0</v>
      </c>
      <c r="G283" s="5">
        <f ca="1">IFERROR(__xludf.DUMMYFUNCTION("""COMPUTED_VALUE"""),0)</f>
        <v>0</v>
      </c>
      <c r="H283" s="5">
        <f ca="1">IFERROR(__xludf.DUMMYFUNCTION("""COMPUTED_VALUE"""),1)</f>
        <v>1</v>
      </c>
      <c r="I283" s="5">
        <f ca="1">IFERROR(__xludf.DUMMYFUNCTION("""COMPUTED_VALUE"""),0)</f>
        <v>0</v>
      </c>
      <c r="J283" s="5">
        <f ca="1">IFERROR(__xludf.DUMMYFUNCTION("""COMPUTED_VALUE"""),0)</f>
        <v>0</v>
      </c>
      <c r="K283" s="5">
        <f ca="1">IFERROR(__xludf.DUMMYFUNCTION("""COMPUTED_VALUE"""),0)</f>
        <v>0</v>
      </c>
      <c r="L283" s="5">
        <f ca="1">IFERROR(__xludf.DUMMYFUNCTION("""COMPUTED_VALUE"""),0)</f>
        <v>0</v>
      </c>
      <c r="M283">
        <f ca="1">IFERROR(__xludf.DUMMYFUNCTION("""COMPUTED_VALUE"""),2)</f>
        <v>2</v>
      </c>
      <c r="N283" s="8"/>
    </row>
    <row r="284" spans="1:14" ht="12.45" hidden="1">
      <c r="A284" t="str">
        <f ca="1">IFERROR(__xludf.DUMMYFUNCTION("""COMPUTED_VALUE"""),"V-2-304")</f>
        <v>V-2-304</v>
      </c>
      <c r="B284" t="str">
        <f ca="1">IFERROR(__xludf.DUMMYFUNCTION("""COMPUTED_VALUE"""),"Назаркина")</f>
        <v>Назаркина</v>
      </c>
      <c r="C284" t="str">
        <f ca="1">IFERROR(__xludf.DUMMYFUNCTION("""COMPUTED_VALUE"""),"Наталья")</f>
        <v>Наталья</v>
      </c>
      <c r="D284" t="str">
        <f ca="1">IFERROR(__xludf.DUMMYFUNCTION("""COMPUTED_VALUE"""),"Школа 223")</f>
        <v>Школа 223</v>
      </c>
      <c r="E284" s="5">
        <f ca="1">IFERROR(__xludf.DUMMYFUNCTION("""COMPUTED_VALUE"""),0)</f>
        <v>0</v>
      </c>
      <c r="F284" s="5">
        <f ca="1">IFERROR(__xludf.DUMMYFUNCTION("""COMPUTED_VALUE"""),0)</f>
        <v>0</v>
      </c>
      <c r="G284" s="5">
        <f ca="1">IFERROR(__xludf.DUMMYFUNCTION("""COMPUTED_VALUE"""),2)</f>
        <v>2</v>
      </c>
      <c r="H284" s="5">
        <f ca="1">IFERROR(__xludf.DUMMYFUNCTION("""COMPUTED_VALUE"""),0)</f>
        <v>0</v>
      </c>
      <c r="I284" s="5">
        <f ca="1">IFERROR(__xludf.DUMMYFUNCTION("""COMPUTED_VALUE"""),0)</f>
        <v>0</v>
      </c>
      <c r="J284" s="5">
        <f ca="1">IFERROR(__xludf.DUMMYFUNCTION("""COMPUTED_VALUE"""),0)</f>
        <v>0</v>
      </c>
      <c r="K284" s="5">
        <f ca="1">IFERROR(__xludf.DUMMYFUNCTION("""COMPUTED_VALUE"""),0)</f>
        <v>0</v>
      </c>
      <c r="L284" s="5">
        <f ca="1">IFERROR(__xludf.DUMMYFUNCTION("""COMPUTED_VALUE"""),0)</f>
        <v>0</v>
      </c>
      <c r="M284">
        <f ca="1">IFERROR(__xludf.DUMMYFUNCTION("""COMPUTED_VALUE"""),2)</f>
        <v>2</v>
      </c>
      <c r="N284" s="8"/>
    </row>
    <row r="285" spans="1:14" ht="12.45" hidden="1">
      <c r="A285" t="str">
        <f ca="1">IFERROR(__xludf.DUMMYFUNCTION("""COMPUTED_VALUE"""),"V-2-450")</f>
        <v>V-2-450</v>
      </c>
      <c r="B285" t="str">
        <f ca="1">IFERROR(__xludf.DUMMYFUNCTION("""COMPUTED_VALUE"""),"Фролова")</f>
        <v>Фролова</v>
      </c>
      <c r="C285" t="str">
        <f ca="1">IFERROR(__xludf.DUMMYFUNCTION("""COMPUTED_VALUE"""),"Вероника")</f>
        <v>Вероника</v>
      </c>
      <c r="D285" t="str">
        <f ca="1">IFERROR(__xludf.DUMMYFUNCTION("""COMPUTED_VALUE"""),"Школа 471")</f>
        <v>Школа 471</v>
      </c>
      <c r="E285" s="5">
        <f ca="1">IFERROR(__xludf.DUMMYFUNCTION("""COMPUTED_VALUE"""),0)</f>
        <v>0</v>
      </c>
      <c r="F285" s="5">
        <f ca="1">IFERROR(__xludf.DUMMYFUNCTION("""COMPUTED_VALUE"""),0)</f>
        <v>0</v>
      </c>
      <c r="G285" s="5">
        <f ca="1">IFERROR(__xludf.DUMMYFUNCTION("""COMPUTED_VALUE"""),2)</f>
        <v>2</v>
      </c>
      <c r="H285" s="5">
        <f ca="1">IFERROR(__xludf.DUMMYFUNCTION("""COMPUTED_VALUE"""),0)</f>
        <v>0</v>
      </c>
      <c r="I285" s="5">
        <f ca="1">IFERROR(__xludf.DUMMYFUNCTION("""COMPUTED_VALUE"""),0)</f>
        <v>0</v>
      </c>
      <c r="J285" s="5">
        <f ca="1">IFERROR(__xludf.DUMMYFUNCTION("""COMPUTED_VALUE"""),0)</f>
        <v>0</v>
      </c>
      <c r="K285" s="5">
        <f ca="1">IFERROR(__xludf.DUMMYFUNCTION("""COMPUTED_VALUE"""),0)</f>
        <v>0</v>
      </c>
      <c r="L285" s="5">
        <f ca="1">IFERROR(__xludf.DUMMYFUNCTION("""COMPUTED_VALUE"""),0)</f>
        <v>0</v>
      </c>
      <c r="M285">
        <f ca="1">IFERROR(__xludf.DUMMYFUNCTION("""COMPUTED_VALUE"""),2)</f>
        <v>2</v>
      </c>
      <c r="N285" s="8"/>
    </row>
    <row r="286" spans="1:14" ht="12.45" hidden="1">
      <c r="A286" t="str">
        <f ca="1">IFERROR(__xludf.DUMMYFUNCTION("""COMPUTED_VALUE"""),"V-2-256")</f>
        <v>V-2-256</v>
      </c>
      <c r="B286" t="str">
        <f ca="1">IFERROR(__xludf.DUMMYFUNCTION("""COMPUTED_VALUE"""),"Ломако")</f>
        <v>Ломако</v>
      </c>
      <c r="C286" t="str">
        <f ca="1">IFERROR(__xludf.DUMMYFUNCTION("""COMPUTED_VALUE"""),"Ярослав")</f>
        <v>Ярослав</v>
      </c>
      <c r="D286" t="str">
        <f ca="1">IFERROR(__xludf.DUMMYFUNCTION("""COMPUTED_VALUE"""),"Школа 641")</f>
        <v>Школа 641</v>
      </c>
      <c r="E286" s="5">
        <f ca="1">IFERROR(__xludf.DUMMYFUNCTION("""COMPUTED_VALUE"""),2)</f>
        <v>2</v>
      </c>
      <c r="F286" s="5">
        <f ca="1">IFERROR(__xludf.DUMMYFUNCTION("""COMPUTED_VALUE"""),0)</f>
        <v>0</v>
      </c>
      <c r="G286" s="5">
        <f ca="1">IFERROR(__xludf.DUMMYFUNCTION("""COMPUTED_VALUE"""),0)</f>
        <v>0</v>
      </c>
      <c r="H286" s="5">
        <f ca="1">IFERROR(__xludf.DUMMYFUNCTION("""COMPUTED_VALUE"""),0)</f>
        <v>0</v>
      </c>
      <c r="I286" s="5">
        <f ca="1">IFERROR(__xludf.DUMMYFUNCTION("""COMPUTED_VALUE"""),0)</f>
        <v>0</v>
      </c>
      <c r="J286" s="5">
        <f ca="1">IFERROR(__xludf.DUMMYFUNCTION("""COMPUTED_VALUE"""),0)</f>
        <v>0</v>
      </c>
      <c r="K286" s="5">
        <f ca="1">IFERROR(__xludf.DUMMYFUNCTION("""COMPUTED_VALUE"""),0)</f>
        <v>0</v>
      </c>
      <c r="L286" s="5">
        <f ca="1">IFERROR(__xludf.DUMMYFUNCTION("""COMPUTED_VALUE"""),0)</f>
        <v>0</v>
      </c>
      <c r="M286">
        <f ca="1">IFERROR(__xludf.DUMMYFUNCTION("""COMPUTED_VALUE"""),2)</f>
        <v>2</v>
      </c>
      <c r="N286" s="8"/>
    </row>
    <row r="287" spans="1:14" ht="12.45" hidden="1">
      <c r="A287" t="str">
        <f ca="1">IFERROR(__xludf.DUMMYFUNCTION("""COMPUTED_VALUE"""),"V-2-322")</f>
        <v>V-2-322</v>
      </c>
      <c r="B287" t="str">
        <f ca="1">IFERROR(__xludf.DUMMYFUNCTION("""COMPUTED_VALUE"""),"Оганезов")</f>
        <v>Оганезов</v>
      </c>
      <c r="C287" t="str">
        <f ca="1">IFERROR(__xludf.DUMMYFUNCTION("""COMPUTED_VALUE"""),"Арсений")</f>
        <v>Арсений</v>
      </c>
      <c r="D287" t="str">
        <f ca="1">IFERROR(__xludf.DUMMYFUNCTION("""COMPUTED_VALUE"""),"Школа 507")</f>
        <v>Школа 507</v>
      </c>
      <c r="E287" s="5">
        <f ca="1">IFERROR(__xludf.DUMMYFUNCTION("""COMPUTED_VALUE"""),2)</f>
        <v>2</v>
      </c>
      <c r="F287" s="5">
        <f ca="1">IFERROR(__xludf.DUMMYFUNCTION("""COMPUTED_VALUE"""),0)</f>
        <v>0</v>
      </c>
      <c r="G287" s="5">
        <f ca="1">IFERROR(__xludf.DUMMYFUNCTION("""COMPUTED_VALUE"""),0)</f>
        <v>0</v>
      </c>
      <c r="H287" s="5">
        <f ca="1">IFERROR(__xludf.DUMMYFUNCTION("""COMPUTED_VALUE"""),0)</f>
        <v>0</v>
      </c>
      <c r="I287" s="5">
        <f ca="1">IFERROR(__xludf.DUMMYFUNCTION("""COMPUTED_VALUE"""),0)</f>
        <v>0</v>
      </c>
      <c r="J287" s="5">
        <f ca="1">IFERROR(__xludf.DUMMYFUNCTION("""COMPUTED_VALUE"""),0)</f>
        <v>0</v>
      </c>
      <c r="K287" s="5">
        <f ca="1">IFERROR(__xludf.DUMMYFUNCTION("""COMPUTED_VALUE"""),0)</f>
        <v>0</v>
      </c>
      <c r="L287" s="5">
        <f ca="1">IFERROR(__xludf.DUMMYFUNCTION("""COMPUTED_VALUE"""),0)</f>
        <v>0</v>
      </c>
      <c r="M287">
        <f ca="1">IFERROR(__xludf.DUMMYFUNCTION("""COMPUTED_VALUE"""),2)</f>
        <v>2</v>
      </c>
      <c r="N287" s="8"/>
    </row>
    <row r="288" spans="1:14" ht="12.45" hidden="1">
      <c r="A288" t="str">
        <f ca="1">IFERROR(__xludf.DUMMYFUNCTION("""COMPUTED_VALUE"""),"III-2-041")</f>
        <v>III-2-041</v>
      </c>
      <c r="B288" t="str">
        <f ca="1">IFERROR(__xludf.DUMMYFUNCTION("""COMPUTED_VALUE"""),"Бегишева")</f>
        <v>Бегишева</v>
      </c>
      <c r="C288" t="str">
        <f ca="1">IFERROR(__xludf.DUMMYFUNCTION("""COMPUTED_VALUE"""),"Дарина")</f>
        <v>Дарина</v>
      </c>
      <c r="D288" t="str">
        <f ca="1">IFERROR(__xludf.DUMMYFUNCTION("""COMPUTED_VALUE"""),"Школа 593")</f>
        <v>Школа 593</v>
      </c>
      <c r="E288" s="5">
        <f ca="1">IFERROR(__xludf.DUMMYFUNCTION("""COMPUTED_VALUE"""),2)</f>
        <v>2</v>
      </c>
      <c r="F288" s="5">
        <f ca="1">IFERROR(__xludf.DUMMYFUNCTION("""COMPUTED_VALUE"""),0)</f>
        <v>0</v>
      </c>
      <c r="G288" s="5">
        <f ca="1">IFERROR(__xludf.DUMMYFUNCTION("""COMPUTED_VALUE"""),0)</f>
        <v>0</v>
      </c>
      <c r="H288" s="5">
        <f ca="1">IFERROR(__xludf.DUMMYFUNCTION("""COMPUTED_VALUE"""),0)</f>
        <v>0</v>
      </c>
      <c r="I288" s="5">
        <f ca="1">IFERROR(__xludf.DUMMYFUNCTION("""COMPUTED_VALUE"""),0)</f>
        <v>0</v>
      </c>
      <c r="J288" s="5">
        <f ca="1">IFERROR(__xludf.DUMMYFUNCTION("""COMPUTED_VALUE"""),0)</f>
        <v>0</v>
      </c>
      <c r="K288" s="5">
        <f ca="1">IFERROR(__xludf.DUMMYFUNCTION("""COMPUTED_VALUE"""),0)</f>
        <v>0</v>
      </c>
      <c r="L288" s="5">
        <f ca="1">IFERROR(__xludf.DUMMYFUNCTION("""COMPUTED_VALUE"""),0)</f>
        <v>0</v>
      </c>
      <c r="M288">
        <f ca="1">IFERROR(__xludf.DUMMYFUNCTION("""COMPUTED_VALUE"""),2)</f>
        <v>2</v>
      </c>
      <c r="N288" s="8"/>
    </row>
    <row r="289" spans="1:14" ht="12.45" hidden="1">
      <c r="A289" t="str">
        <f ca="1">IFERROR(__xludf.DUMMYFUNCTION("""COMPUTED_VALUE"""),"V-2-413")</f>
        <v>V-2-413</v>
      </c>
      <c r="B289" t="str">
        <f ca="1">IFERROR(__xludf.DUMMYFUNCTION("""COMPUTED_VALUE"""),"Стрельников")</f>
        <v>Стрельников</v>
      </c>
      <c r="C289" t="str">
        <f ca="1">IFERROR(__xludf.DUMMYFUNCTION("""COMPUTED_VALUE"""),"Семён")</f>
        <v>Семён</v>
      </c>
      <c r="D289" t="str">
        <f ca="1">IFERROR(__xludf.DUMMYFUNCTION("""COMPUTED_VALUE"""),"Лицей 101")</f>
        <v>Лицей 101</v>
      </c>
      <c r="E289" s="5">
        <f ca="1">IFERROR(__xludf.DUMMYFUNCTION("""COMPUTED_VALUE"""),1)</f>
        <v>1</v>
      </c>
      <c r="F289" s="5">
        <f ca="1">IFERROR(__xludf.DUMMYFUNCTION("""COMPUTED_VALUE"""),1)</f>
        <v>1</v>
      </c>
      <c r="G289" s="5">
        <f ca="1">IFERROR(__xludf.DUMMYFUNCTION("""COMPUTED_VALUE"""),0)</f>
        <v>0</v>
      </c>
      <c r="H289" s="5">
        <f ca="1">IFERROR(__xludf.DUMMYFUNCTION("""COMPUTED_VALUE"""),0)</f>
        <v>0</v>
      </c>
      <c r="I289" s="5">
        <f ca="1">IFERROR(__xludf.DUMMYFUNCTION("""COMPUTED_VALUE"""),0)</f>
        <v>0</v>
      </c>
      <c r="J289" s="5">
        <f ca="1">IFERROR(__xludf.DUMMYFUNCTION("""COMPUTED_VALUE"""),0)</f>
        <v>0</v>
      </c>
      <c r="K289" s="5">
        <f ca="1">IFERROR(__xludf.DUMMYFUNCTION("""COMPUTED_VALUE"""),0)</f>
        <v>0</v>
      </c>
      <c r="L289" s="5">
        <f ca="1">IFERROR(__xludf.DUMMYFUNCTION("""COMPUTED_VALUE"""),0)</f>
        <v>0</v>
      </c>
      <c r="M289">
        <f ca="1">IFERROR(__xludf.DUMMYFUNCTION("""COMPUTED_VALUE"""),2)</f>
        <v>2</v>
      </c>
      <c r="N289" s="8"/>
    </row>
    <row r="290" spans="1:14" ht="12.45" hidden="1">
      <c r="A290" t="str">
        <f ca="1">IFERROR(__xludf.DUMMYFUNCTION("""COMPUTED_VALUE"""),"V-2-367")</f>
        <v>V-2-367</v>
      </c>
      <c r="B290" t="str">
        <f ca="1">IFERROR(__xludf.DUMMYFUNCTION("""COMPUTED_VALUE"""),"Садигов")</f>
        <v>Садигов</v>
      </c>
      <c r="C290" t="str">
        <f ca="1">IFERROR(__xludf.DUMMYFUNCTION("""COMPUTED_VALUE"""),"Давид")</f>
        <v>Давид</v>
      </c>
      <c r="D290" t="str">
        <f ca="1">IFERROR(__xludf.DUMMYFUNCTION("""COMPUTED_VALUE"""),"Лицей ФМЛ 366")</f>
        <v>Лицей ФМЛ 366</v>
      </c>
      <c r="E290" s="5">
        <f ca="1">IFERROR(__xludf.DUMMYFUNCTION("""COMPUTED_VALUE"""),2)</f>
        <v>2</v>
      </c>
      <c r="F290" s="5">
        <f ca="1">IFERROR(__xludf.DUMMYFUNCTION("""COMPUTED_VALUE"""),0)</f>
        <v>0</v>
      </c>
      <c r="G290" s="5">
        <f ca="1">IFERROR(__xludf.DUMMYFUNCTION("""COMPUTED_VALUE"""),0)</f>
        <v>0</v>
      </c>
      <c r="H290" s="5">
        <f ca="1">IFERROR(__xludf.DUMMYFUNCTION("""COMPUTED_VALUE"""),0)</f>
        <v>0</v>
      </c>
      <c r="I290" s="5">
        <f ca="1">IFERROR(__xludf.DUMMYFUNCTION("""COMPUTED_VALUE"""),0)</f>
        <v>0</v>
      </c>
      <c r="J290" s="5">
        <f ca="1">IFERROR(__xludf.DUMMYFUNCTION("""COMPUTED_VALUE"""),0)</f>
        <v>0</v>
      </c>
      <c r="K290" s="5">
        <f ca="1">IFERROR(__xludf.DUMMYFUNCTION("""COMPUTED_VALUE"""),0)</f>
        <v>0</v>
      </c>
      <c r="L290" s="5">
        <f ca="1">IFERROR(__xludf.DUMMYFUNCTION("""COMPUTED_VALUE"""),0)</f>
        <v>0</v>
      </c>
      <c r="M290">
        <f ca="1">IFERROR(__xludf.DUMMYFUNCTION("""COMPUTED_VALUE"""),2)</f>
        <v>2</v>
      </c>
      <c r="N290" s="8"/>
    </row>
    <row r="291" spans="1:14" ht="12.45" hidden="1">
      <c r="A291" t="str">
        <f ca="1">IFERROR(__xludf.DUMMYFUNCTION("""COMPUTED_VALUE"""),"III-2-158")</f>
        <v>III-2-158</v>
      </c>
      <c r="B291" t="str">
        <f ca="1">IFERROR(__xludf.DUMMYFUNCTION("""COMPUTED_VALUE"""),"Жерновой")</f>
        <v>Жерновой</v>
      </c>
      <c r="C291" t="str">
        <f ca="1">IFERROR(__xludf.DUMMYFUNCTION("""COMPUTED_VALUE"""),"Сергей")</f>
        <v>Сергей</v>
      </c>
      <c r="D291" t="str">
        <f ca="1">IFERROR(__xludf.DUMMYFUNCTION("""COMPUTED_VALUE"""),"Школа Орлёнок")</f>
        <v>Школа Орлёнок</v>
      </c>
      <c r="E291" s="5">
        <f ca="1">IFERROR(__xludf.DUMMYFUNCTION("""COMPUTED_VALUE"""),2)</f>
        <v>2</v>
      </c>
      <c r="F291" s="5">
        <f ca="1">IFERROR(__xludf.DUMMYFUNCTION("""COMPUTED_VALUE"""),0)</f>
        <v>0</v>
      </c>
      <c r="G291" s="5">
        <f ca="1">IFERROR(__xludf.DUMMYFUNCTION("""COMPUTED_VALUE"""),0)</f>
        <v>0</v>
      </c>
      <c r="H291" s="5">
        <f ca="1">IFERROR(__xludf.DUMMYFUNCTION("""COMPUTED_VALUE"""),0)</f>
        <v>0</v>
      </c>
      <c r="I291" s="5">
        <f ca="1">IFERROR(__xludf.DUMMYFUNCTION("""COMPUTED_VALUE"""),0)</f>
        <v>0</v>
      </c>
      <c r="J291" s="5">
        <f ca="1">IFERROR(__xludf.DUMMYFUNCTION("""COMPUTED_VALUE"""),0)</f>
        <v>0</v>
      </c>
      <c r="K291" s="5">
        <f ca="1">IFERROR(__xludf.DUMMYFUNCTION("""COMPUTED_VALUE"""),0)</f>
        <v>0</v>
      </c>
      <c r="L291" s="5">
        <f ca="1">IFERROR(__xludf.DUMMYFUNCTION("""COMPUTED_VALUE"""),0)</f>
        <v>0</v>
      </c>
      <c r="M291">
        <f ca="1">IFERROR(__xludf.DUMMYFUNCTION("""COMPUTED_VALUE"""),2)</f>
        <v>2</v>
      </c>
      <c r="N291" s="8"/>
    </row>
    <row r="292" spans="1:14" ht="12.45" hidden="1">
      <c r="A292" t="str">
        <f ca="1">IFERROR(__xludf.DUMMYFUNCTION("""COMPUTED_VALUE"""),"III-2-198")</f>
        <v>III-2-198</v>
      </c>
      <c r="B292" t="str">
        <f ca="1">IFERROR(__xludf.DUMMYFUNCTION("""COMPUTED_VALUE"""),"Келим")</f>
        <v>Келим</v>
      </c>
      <c r="C292" t="str">
        <f ca="1">IFERROR(__xludf.DUMMYFUNCTION("""COMPUTED_VALUE"""),"Александра")</f>
        <v>Александра</v>
      </c>
      <c r="D292" t="str">
        <f ca="1">IFERROR(__xludf.DUMMYFUNCTION("""COMPUTED_VALUE"""),"Гимназия 74")</f>
        <v>Гимназия 74</v>
      </c>
      <c r="E292" s="5">
        <f ca="1">IFERROR(__xludf.DUMMYFUNCTION("""COMPUTED_VALUE"""),0)</f>
        <v>0</v>
      </c>
      <c r="F292" s="5">
        <f ca="1">IFERROR(__xludf.DUMMYFUNCTION("""COMPUTED_VALUE"""),0)</f>
        <v>0</v>
      </c>
      <c r="G292" s="5">
        <f ca="1">IFERROR(__xludf.DUMMYFUNCTION("""COMPUTED_VALUE"""),0)</f>
        <v>0</v>
      </c>
      <c r="H292" s="5">
        <f ca="1">IFERROR(__xludf.DUMMYFUNCTION("""COMPUTED_VALUE"""),0)</f>
        <v>0</v>
      </c>
      <c r="I292" s="5">
        <f ca="1">IFERROR(__xludf.DUMMYFUNCTION("""COMPUTED_VALUE"""),0)</f>
        <v>0</v>
      </c>
      <c r="J292" s="5">
        <f ca="1">IFERROR(__xludf.DUMMYFUNCTION("""COMPUTED_VALUE"""),1)</f>
        <v>1</v>
      </c>
      <c r="K292" s="5">
        <f ca="1">IFERROR(__xludf.DUMMYFUNCTION("""COMPUTED_VALUE"""),0)</f>
        <v>0</v>
      </c>
      <c r="L292" s="5">
        <f ca="1">IFERROR(__xludf.DUMMYFUNCTION("""COMPUTED_VALUE"""),0)</f>
        <v>0</v>
      </c>
      <c r="M292">
        <f ca="1">IFERROR(__xludf.DUMMYFUNCTION("""COMPUTED_VALUE"""),1)</f>
        <v>1</v>
      </c>
      <c r="N292" s="8"/>
    </row>
    <row r="293" spans="1:14" ht="12.45" hidden="1">
      <c r="A293" t="str">
        <f ca="1">IFERROR(__xludf.DUMMYFUNCTION("""COMPUTED_VALUE"""),"V-2-396")</f>
        <v>V-2-396</v>
      </c>
      <c r="B293" t="str">
        <f ca="1">IFERROR(__xludf.DUMMYFUNCTION("""COMPUTED_VALUE"""),"Слащилина")</f>
        <v>Слащилина</v>
      </c>
      <c r="C293" t="str">
        <f ca="1">IFERROR(__xludf.DUMMYFUNCTION("""COMPUTED_VALUE"""),"Варвара")</f>
        <v>Варвара</v>
      </c>
      <c r="D293" t="str">
        <f ca="1">IFERROR(__xludf.DUMMYFUNCTION("""COMPUTED_VALUE"""),"Школа 655")</f>
        <v>Школа 655</v>
      </c>
      <c r="E293" s="5">
        <f ca="1">IFERROR(__xludf.DUMMYFUNCTION("""COMPUTED_VALUE"""),0)</f>
        <v>0</v>
      </c>
      <c r="F293" s="5">
        <f ca="1">IFERROR(__xludf.DUMMYFUNCTION("""COMPUTED_VALUE"""),0)</f>
        <v>0</v>
      </c>
      <c r="G293" s="5">
        <f ca="1">IFERROR(__xludf.DUMMYFUNCTION("""COMPUTED_VALUE"""),0)</f>
        <v>0</v>
      </c>
      <c r="H293" s="5">
        <f ca="1">IFERROR(__xludf.DUMMYFUNCTION("""COMPUTED_VALUE"""),0)</f>
        <v>0</v>
      </c>
      <c r="I293" s="5">
        <f ca="1">IFERROR(__xludf.DUMMYFUNCTION("""COMPUTED_VALUE"""),0)</f>
        <v>0</v>
      </c>
      <c r="J293" s="5">
        <f ca="1">IFERROR(__xludf.DUMMYFUNCTION("""COMPUTED_VALUE"""),1)</f>
        <v>1</v>
      </c>
      <c r="K293" s="5">
        <f ca="1">IFERROR(__xludf.DUMMYFUNCTION("""COMPUTED_VALUE"""),0)</f>
        <v>0</v>
      </c>
      <c r="L293" s="5">
        <f ca="1">IFERROR(__xludf.DUMMYFUNCTION("""COMPUTED_VALUE"""),0)</f>
        <v>0</v>
      </c>
      <c r="M293">
        <f ca="1">IFERROR(__xludf.DUMMYFUNCTION("""COMPUTED_VALUE"""),1)</f>
        <v>1</v>
      </c>
      <c r="N293" s="8"/>
    </row>
    <row r="294" spans="1:14" ht="12.45" hidden="1">
      <c r="A294" t="str">
        <f ca="1">IFERROR(__xludf.DUMMYFUNCTION("""COMPUTED_VALUE"""),"III-2-127")</f>
        <v>III-2-127</v>
      </c>
      <c r="B294" t="str">
        <f ca="1">IFERROR(__xludf.DUMMYFUNCTION("""COMPUTED_VALUE"""),"Девятьяров")</f>
        <v>Девятьяров</v>
      </c>
      <c r="C294" t="str">
        <f ca="1">IFERROR(__xludf.DUMMYFUNCTION("""COMPUTED_VALUE"""),"Григорий")</f>
        <v>Григорий</v>
      </c>
      <c r="D294" t="str">
        <f ca="1">IFERROR(__xludf.DUMMYFUNCTION("""COMPUTED_VALUE"""),"Школа 655")</f>
        <v>Школа 655</v>
      </c>
      <c r="E294" s="5">
        <f ca="1">IFERROR(__xludf.DUMMYFUNCTION("""COMPUTED_VALUE"""),0)</f>
        <v>0</v>
      </c>
      <c r="F294" s="5">
        <f ca="1">IFERROR(__xludf.DUMMYFUNCTION("""COMPUTED_VALUE"""),0)</f>
        <v>0</v>
      </c>
      <c r="G294" s="5">
        <f ca="1">IFERROR(__xludf.DUMMYFUNCTION("""COMPUTED_VALUE"""),0)</f>
        <v>0</v>
      </c>
      <c r="H294" s="5">
        <f ca="1">IFERROR(__xludf.DUMMYFUNCTION("""COMPUTED_VALUE"""),0)</f>
        <v>0</v>
      </c>
      <c r="I294" s="5">
        <f ca="1">IFERROR(__xludf.DUMMYFUNCTION("""COMPUTED_VALUE"""),1)</f>
        <v>1</v>
      </c>
      <c r="J294" s="5">
        <f ca="1">IFERROR(__xludf.DUMMYFUNCTION("""COMPUTED_VALUE"""),0)</f>
        <v>0</v>
      </c>
      <c r="K294" s="5">
        <f ca="1">IFERROR(__xludf.DUMMYFUNCTION("""COMPUTED_VALUE"""),0)</f>
        <v>0</v>
      </c>
      <c r="L294" s="5">
        <f ca="1">IFERROR(__xludf.DUMMYFUNCTION("""COMPUTED_VALUE"""),0)</f>
        <v>0</v>
      </c>
      <c r="M294">
        <f ca="1">IFERROR(__xludf.DUMMYFUNCTION("""COMPUTED_VALUE"""),1)</f>
        <v>1</v>
      </c>
      <c r="N294" s="8"/>
    </row>
    <row r="295" spans="1:14" ht="12.45" hidden="1">
      <c r="A295" t="str">
        <f ca="1">IFERROR(__xludf.DUMMYFUNCTION("""COMPUTED_VALUE"""),"III-2-180")</f>
        <v>III-2-180</v>
      </c>
      <c r="B295" t="str">
        <f ca="1">IFERROR(__xludf.DUMMYFUNCTION("""COMPUTED_VALUE"""),"Илаева")</f>
        <v>Илаева</v>
      </c>
      <c r="C295" t="str">
        <f ca="1">IFERROR(__xludf.DUMMYFUNCTION("""COMPUTED_VALUE"""),"Влада")</f>
        <v>Влада</v>
      </c>
      <c r="D295" t="str">
        <f ca="1">IFERROR(__xludf.DUMMYFUNCTION("""COMPUTED_VALUE"""),"Лицей 64")</f>
        <v>Лицей 64</v>
      </c>
      <c r="E295" s="5">
        <f ca="1">IFERROR(__xludf.DUMMYFUNCTION("""COMPUTED_VALUE"""),0)</f>
        <v>0</v>
      </c>
      <c r="F295" s="5">
        <f ca="1">IFERROR(__xludf.DUMMYFUNCTION("""COMPUTED_VALUE"""),0)</f>
        <v>0</v>
      </c>
      <c r="G295" s="5">
        <f ca="1">IFERROR(__xludf.DUMMYFUNCTION("""COMPUTED_VALUE"""),1)</f>
        <v>1</v>
      </c>
      <c r="H295" s="5">
        <f ca="1">IFERROR(__xludf.DUMMYFUNCTION("""COMPUTED_VALUE"""),0)</f>
        <v>0</v>
      </c>
      <c r="I295" s="5">
        <f ca="1">IFERROR(__xludf.DUMMYFUNCTION("""COMPUTED_VALUE"""),0)</f>
        <v>0</v>
      </c>
      <c r="J295" s="5">
        <f ca="1">IFERROR(__xludf.DUMMYFUNCTION("""COMPUTED_VALUE"""),0)</f>
        <v>0</v>
      </c>
      <c r="K295" s="5">
        <f ca="1">IFERROR(__xludf.DUMMYFUNCTION("""COMPUTED_VALUE"""),0)</f>
        <v>0</v>
      </c>
      <c r="L295" s="5">
        <f ca="1">IFERROR(__xludf.DUMMYFUNCTION("""COMPUTED_VALUE"""),0)</f>
        <v>0</v>
      </c>
      <c r="M295">
        <f ca="1">IFERROR(__xludf.DUMMYFUNCTION("""COMPUTED_VALUE"""),1)</f>
        <v>1</v>
      </c>
      <c r="N295" s="8"/>
    </row>
    <row r="296" spans="1:14" ht="12.45" hidden="1">
      <c r="A296" t="str">
        <f ca="1">IFERROR(__xludf.DUMMYFUNCTION("""COMPUTED_VALUE"""),"III-2-125")</f>
        <v>III-2-125</v>
      </c>
      <c r="B296" t="str">
        <f ca="1">IFERROR(__xludf.DUMMYFUNCTION("""COMPUTED_VALUE"""),"Дацюк")</f>
        <v>Дацюк</v>
      </c>
      <c r="C296" t="str">
        <f ca="1">IFERROR(__xludf.DUMMYFUNCTION("""COMPUTED_VALUE"""),"Екатерина")</f>
        <v>Екатерина</v>
      </c>
      <c r="D296" t="str">
        <f ca="1">IFERROR(__xludf.DUMMYFUNCTION("""COMPUTED_VALUE"""),"Гимназия 24")</f>
        <v>Гимназия 24</v>
      </c>
      <c r="E296" s="5">
        <f ca="1">IFERROR(__xludf.DUMMYFUNCTION("""COMPUTED_VALUE"""),1)</f>
        <v>1</v>
      </c>
      <c r="F296" s="5">
        <f ca="1">IFERROR(__xludf.DUMMYFUNCTION("""COMPUTED_VALUE"""),0)</f>
        <v>0</v>
      </c>
      <c r="G296" s="5">
        <f ca="1">IFERROR(__xludf.DUMMYFUNCTION("""COMPUTED_VALUE"""),0)</f>
        <v>0</v>
      </c>
      <c r="H296" s="5">
        <f ca="1">IFERROR(__xludf.DUMMYFUNCTION("""COMPUTED_VALUE"""),0)</f>
        <v>0</v>
      </c>
      <c r="I296" s="5">
        <f ca="1">IFERROR(__xludf.DUMMYFUNCTION("""COMPUTED_VALUE"""),0)</f>
        <v>0</v>
      </c>
      <c r="J296" s="5">
        <f ca="1">IFERROR(__xludf.DUMMYFUNCTION("""COMPUTED_VALUE"""),0)</f>
        <v>0</v>
      </c>
      <c r="K296" s="5">
        <f ca="1">IFERROR(__xludf.DUMMYFUNCTION("""COMPUTED_VALUE"""),0)</f>
        <v>0</v>
      </c>
      <c r="L296" s="5">
        <f ca="1">IFERROR(__xludf.DUMMYFUNCTION("""COMPUTED_VALUE"""),0)</f>
        <v>0</v>
      </c>
      <c r="M296">
        <f ca="1">IFERROR(__xludf.DUMMYFUNCTION("""COMPUTED_VALUE"""),1)</f>
        <v>1</v>
      </c>
      <c r="N296" s="8"/>
    </row>
    <row r="297" spans="1:14" ht="12.45" hidden="1">
      <c r="A297" t="str">
        <f ca="1">IFERROR(__xludf.DUMMYFUNCTION("""COMPUTED_VALUE"""),"III-2-215")</f>
        <v>III-2-215</v>
      </c>
      <c r="B297" t="str">
        <f ca="1">IFERROR(__xludf.DUMMYFUNCTION("""COMPUTED_VALUE"""),"Колесник")</f>
        <v>Колесник</v>
      </c>
      <c r="C297" t="str">
        <f ca="1">IFERROR(__xludf.DUMMYFUNCTION("""COMPUTED_VALUE"""),"Кирилл")</f>
        <v>Кирилл</v>
      </c>
      <c r="D297" t="str">
        <f ca="1">IFERROR(__xludf.DUMMYFUNCTION("""COMPUTED_VALUE"""),"Школа 655")</f>
        <v>Школа 655</v>
      </c>
      <c r="E297" s="5">
        <f ca="1">IFERROR(__xludf.DUMMYFUNCTION("""COMPUTED_VALUE"""),0)</f>
        <v>0</v>
      </c>
      <c r="F297" s="5">
        <f ca="1">IFERROR(__xludf.DUMMYFUNCTION("""COMPUTED_VALUE"""),1)</f>
        <v>1</v>
      </c>
      <c r="G297" s="5">
        <f ca="1">IFERROR(__xludf.DUMMYFUNCTION("""COMPUTED_VALUE"""),0)</f>
        <v>0</v>
      </c>
      <c r="H297" s="5">
        <f ca="1">IFERROR(__xludf.DUMMYFUNCTION("""COMPUTED_VALUE"""),0)</f>
        <v>0</v>
      </c>
      <c r="I297" s="5">
        <f ca="1">IFERROR(__xludf.DUMMYFUNCTION("""COMPUTED_VALUE"""),0)</f>
        <v>0</v>
      </c>
      <c r="J297" s="5">
        <f ca="1">IFERROR(__xludf.DUMMYFUNCTION("""COMPUTED_VALUE"""),0)</f>
        <v>0</v>
      </c>
      <c r="K297" s="5">
        <f ca="1">IFERROR(__xludf.DUMMYFUNCTION("""COMPUTED_VALUE"""),0)</f>
        <v>0</v>
      </c>
      <c r="L297" s="5">
        <f ca="1">IFERROR(__xludf.DUMMYFUNCTION("""COMPUTED_VALUE"""),0)</f>
        <v>0</v>
      </c>
      <c r="M297">
        <f ca="1">IFERROR(__xludf.DUMMYFUNCTION("""COMPUTED_VALUE"""),1)</f>
        <v>1</v>
      </c>
      <c r="N297" s="8"/>
    </row>
    <row r="298" spans="1:14" ht="12.45" hidden="1">
      <c r="A298" t="str">
        <f ca="1">IFERROR(__xludf.DUMMYFUNCTION("""COMPUTED_VALUE"""),"III-2-239")</f>
        <v>III-2-239</v>
      </c>
      <c r="B298" t="str">
        <f ca="1">IFERROR(__xludf.DUMMYFUNCTION("""COMPUTED_VALUE"""),"Куцева")</f>
        <v>Куцева</v>
      </c>
      <c r="C298" t="str">
        <f ca="1">IFERROR(__xludf.DUMMYFUNCTION("""COMPUTED_VALUE"""),"Софья")</f>
        <v>Софья</v>
      </c>
      <c r="D298" t="str">
        <f ca="1">IFERROR(__xludf.DUMMYFUNCTION("""COMPUTED_VALUE"""),"Школа 340")</f>
        <v>Школа 340</v>
      </c>
      <c r="E298" s="5">
        <f ca="1">IFERROR(__xludf.DUMMYFUNCTION("""COMPUTED_VALUE"""),0)</f>
        <v>0</v>
      </c>
      <c r="F298" s="5">
        <f ca="1">IFERROR(__xludf.DUMMYFUNCTION("""COMPUTED_VALUE"""),1)</f>
        <v>1</v>
      </c>
      <c r="G298" s="5">
        <f ca="1">IFERROR(__xludf.DUMMYFUNCTION("""COMPUTED_VALUE"""),0)</f>
        <v>0</v>
      </c>
      <c r="H298" s="5">
        <f ca="1">IFERROR(__xludf.DUMMYFUNCTION("""COMPUTED_VALUE"""),0)</f>
        <v>0</v>
      </c>
      <c r="I298" s="5">
        <f ca="1">IFERROR(__xludf.DUMMYFUNCTION("""COMPUTED_VALUE"""),0)</f>
        <v>0</v>
      </c>
      <c r="J298" s="5">
        <f ca="1">IFERROR(__xludf.DUMMYFUNCTION("""COMPUTED_VALUE"""),0)</f>
        <v>0</v>
      </c>
      <c r="K298" s="5">
        <f ca="1">IFERROR(__xludf.DUMMYFUNCTION("""COMPUTED_VALUE"""),0)</f>
        <v>0</v>
      </c>
      <c r="L298" s="5">
        <f ca="1">IFERROR(__xludf.DUMMYFUNCTION("""COMPUTED_VALUE"""),0)</f>
        <v>0</v>
      </c>
      <c r="M298">
        <f ca="1">IFERROR(__xludf.DUMMYFUNCTION("""COMPUTED_VALUE"""),1)</f>
        <v>1</v>
      </c>
      <c r="N298" s="8"/>
    </row>
    <row r="299" spans="1:14" ht="12.45" hidden="1">
      <c r="A299" t="str">
        <f ca="1">IFERROR(__xludf.DUMMYFUNCTION("""COMPUTED_VALUE"""),"V-2-360")</f>
        <v>V-2-360</v>
      </c>
      <c r="B299" t="str">
        <f ca="1">IFERROR(__xludf.DUMMYFUNCTION("""COMPUTED_VALUE"""),"Рублёв")</f>
        <v>Рублёв</v>
      </c>
      <c r="C299" t="str">
        <f ca="1">IFERROR(__xludf.DUMMYFUNCTION("""COMPUTED_VALUE"""),"Егор")</f>
        <v>Егор</v>
      </c>
      <c r="D299" t="str">
        <f ca="1">IFERROR(__xludf.DUMMYFUNCTION("""COMPUTED_VALUE"""),"Гимназия Александринская гимназия 628")</f>
        <v>Гимназия Александринская гимназия 628</v>
      </c>
      <c r="E299" s="5">
        <f ca="1">IFERROR(__xludf.DUMMYFUNCTION("""COMPUTED_VALUE"""),0)</f>
        <v>0</v>
      </c>
      <c r="F299" s="5">
        <f ca="1">IFERROR(__xludf.DUMMYFUNCTION("""COMPUTED_VALUE"""),1)</f>
        <v>1</v>
      </c>
      <c r="G299" s="5">
        <f ca="1">IFERROR(__xludf.DUMMYFUNCTION("""COMPUTED_VALUE"""),0)</f>
        <v>0</v>
      </c>
      <c r="H299" s="5">
        <f ca="1">IFERROR(__xludf.DUMMYFUNCTION("""COMPUTED_VALUE"""),0)</f>
        <v>0</v>
      </c>
      <c r="I299" s="5">
        <f ca="1">IFERROR(__xludf.DUMMYFUNCTION("""COMPUTED_VALUE"""),0)</f>
        <v>0</v>
      </c>
      <c r="J299" s="5">
        <f ca="1">IFERROR(__xludf.DUMMYFUNCTION("""COMPUTED_VALUE"""),0)</f>
        <v>0</v>
      </c>
      <c r="K299" s="5">
        <f ca="1">IFERROR(__xludf.DUMMYFUNCTION("""COMPUTED_VALUE"""),0)</f>
        <v>0</v>
      </c>
      <c r="L299" s="5">
        <f ca="1">IFERROR(__xludf.DUMMYFUNCTION("""COMPUTED_VALUE"""),0)</f>
        <v>0</v>
      </c>
      <c r="M299">
        <f ca="1">IFERROR(__xludf.DUMMYFUNCTION("""COMPUTED_VALUE"""),1)</f>
        <v>1</v>
      </c>
      <c r="N299" s="8"/>
    </row>
    <row r="300" spans="1:14" ht="12.45" hidden="1">
      <c r="A300" t="str">
        <f ca="1">IFERROR(__xludf.DUMMYFUNCTION("""COMPUTED_VALUE"""),"V-2-371")</f>
        <v>V-2-371</v>
      </c>
      <c r="B300" t="str">
        <f ca="1">IFERROR(__xludf.DUMMYFUNCTION("""COMPUTED_VALUE"""),"Сазанова")</f>
        <v>Сазанова</v>
      </c>
      <c r="C300" t="str">
        <f ca="1">IFERROR(__xludf.DUMMYFUNCTION("""COMPUTED_VALUE"""),"Анастасия")</f>
        <v>Анастасия</v>
      </c>
      <c r="D300" t="str">
        <f ca="1">IFERROR(__xludf.DUMMYFUNCTION("""COMPUTED_VALUE"""),"Школа 174")</f>
        <v>Школа 174</v>
      </c>
      <c r="E300" s="5">
        <f ca="1">IFERROR(__xludf.DUMMYFUNCTION("""COMPUTED_VALUE"""),0)</f>
        <v>0</v>
      </c>
      <c r="F300" s="5">
        <f ca="1">IFERROR(__xludf.DUMMYFUNCTION("""COMPUTED_VALUE"""),1)</f>
        <v>1</v>
      </c>
      <c r="G300" s="5">
        <f ca="1">IFERROR(__xludf.DUMMYFUNCTION("""COMPUTED_VALUE"""),0)</f>
        <v>0</v>
      </c>
      <c r="H300" s="5">
        <f ca="1">IFERROR(__xludf.DUMMYFUNCTION("""COMPUTED_VALUE"""),0)</f>
        <v>0</v>
      </c>
      <c r="I300" s="5">
        <f ca="1">IFERROR(__xludf.DUMMYFUNCTION("""COMPUTED_VALUE"""),0)</f>
        <v>0</v>
      </c>
      <c r="J300" s="5">
        <f ca="1">IFERROR(__xludf.DUMMYFUNCTION("""COMPUTED_VALUE"""),0)</f>
        <v>0</v>
      </c>
      <c r="K300" s="5">
        <f ca="1">IFERROR(__xludf.DUMMYFUNCTION("""COMPUTED_VALUE"""),0)</f>
        <v>0</v>
      </c>
      <c r="L300" s="5">
        <f ca="1">IFERROR(__xludf.DUMMYFUNCTION("""COMPUTED_VALUE"""),0)</f>
        <v>0</v>
      </c>
      <c r="M300">
        <f ca="1">IFERROR(__xludf.DUMMYFUNCTION("""COMPUTED_VALUE"""),1)</f>
        <v>1</v>
      </c>
      <c r="N300" s="8"/>
    </row>
    <row r="301" spans="1:14" ht="12.45" hidden="1">
      <c r="A301" t="str">
        <f ca="1">IFERROR(__xludf.DUMMYFUNCTION("""COMPUTED_VALUE"""),"III-2-226")</f>
        <v>III-2-226</v>
      </c>
      <c r="B301" t="str">
        <f ca="1">IFERROR(__xludf.DUMMYFUNCTION("""COMPUTED_VALUE"""),"Кочеткова")</f>
        <v>Кочеткова</v>
      </c>
      <c r="C301" t="str">
        <f ca="1">IFERROR(__xludf.DUMMYFUNCTION("""COMPUTED_VALUE"""),"Варвара")</f>
        <v>Варвара</v>
      </c>
      <c r="D301" t="str">
        <f ca="1">IFERROR(__xludf.DUMMYFUNCTION("""COMPUTED_VALUE"""),"Школа 407")</f>
        <v>Школа 407</v>
      </c>
      <c r="E301" s="5">
        <f ca="1">IFERROR(__xludf.DUMMYFUNCTION("""COMPUTED_VALUE"""),0)</f>
        <v>0</v>
      </c>
      <c r="F301" s="5">
        <f ca="1">IFERROR(__xludf.DUMMYFUNCTION("""COMPUTED_VALUE"""),1)</f>
        <v>1</v>
      </c>
      <c r="G301" s="5">
        <f ca="1">IFERROR(__xludf.DUMMYFUNCTION("""COMPUTED_VALUE"""),0)</f>
        <v>0</v>
      </c>
      <c r="H301" s="5">
        <f ca="1">IFERROR(__xludf.DUMMYFUNCTION("""COMPUTED_VALUE"""),0)</f>
        <v>0</v>
      </c>
      <c r="I301" s="5">
        <f ca="1">IFERROR(__xludf.DUMMYFUNCTION("""COMPUTED_VALUE"""),0)</f>
        <v>0</v>
      </c>
      <c r="J301" s="5">
        <f ca="1">IFERROR(__xludf.DUMMYFUNCTION("""COMPUTED_VALUE"""),0)</f>
        <v>0</v>
      </c>
      <c r="K301" s="5">
        <f ca="1">IFERROR(__xludf.DUMMYFUNCTION("""COMPUTED_VALUE"""),0)</f>
        <v>0</v>
      </c>
      <c r="L301" s="5">
        <f ca="1">IFERROR(__xludf.DUMMYFUNCTION("""COMPUTED_VALUE"""),0)</f>
        <v>0</v>
      </c>
      <c r="M301">
        <f ca="1">IFERROR(__xludf.DUMMYFUNCTION("""COMPUTED_VALUE"""),1)</f>
        <v>1</v>
      </c>
      <c r="N301" s="8"/>
    </row>
    <row r="302" spans="1:14" ht="12.45" hidden="1">
      <c r="A302" t="str">
        <f ca="1">IFERROR(__xludf.DUMMYFUNCTION("""COMPUTED_VALUE"""),"V-2-270")</f>
        <v>V-2-270</v>
      </c>
      <c r="B302" t="str">
        <f ca="1">IFERROR(__xludf.DUMMYFUNCTION("""COMPUTED_VALUE"""),"Малинин")</f>
        <v>Малинин</v>
      </c>
      <c r="C302" t="str">
        <f ca="1">IFERROR(__xludf.DUMMYFUNCTION("""COMPUTED_VALUE"""),"Даниил")</f>
        <v>Даниил</v>
      </c>
      <c r="D302" t="str">
        <f ca="1">IFERROR(__xludf.DUMMYFUNCTION("""COMPUTED_VALUE"""),"Школа 407")</f>
        <v>Школа 407</v>
      </c>
      <c r="E302" s="5">
        <f ca="1">IFERROR(__xludf.DUMMYFUNCTION("""COMPUTED_VALUE"""),1)</f>
        <v>1</v>
      </c>
      <c r="F302" s="5">
        <f ca="1">IFERROR(__xludf.DUMMYFUNCTION("""COMPUTED_VALUE"""),0)</f>
        <v>0</v>
      </c>
      <c r="G302" s="5">
        <f ca="1">IFERROR(__xludf.DUMMYFUNCTION("""COMPUTED_VALUE"""),0)</f>
        <v>0</v>
      </c>
      <c r="H302" s="5">
        <f ca="1">IFERROR(__xludf.DUMMYFUNCTION("""COMPUTED_VALUE"""),0)</f>
        <v>0</v>
      </c>
      <c r="I302" s="5">
        <f ca="1">IFERROR(__xludf.DUMMYFUNCTION("""COMPUTED_VALUE"""),0)</f>
        <v>0</v>
      </c>
      <c r="J302" s="5">
        <f ca="1">IFERROR(__xludf.DUMMYFUNCTION("""COMPUTED_VALUE"""),0)</f>
        <v>0</v>
      </c>
      <c r="K302" s="5">
        <f ca="1">IFERROR(__xludf.DUMMYFUNCTION("""COMPUTED_VALUE"""),0)</f>
        <v>0</v>
      </c>
      <c r="L302" s="5">
        <f ca="1">IFERROR(__xludf.DUMMYFUNCTION("""COMPUTED_VALUE"""),0)</f>
        <v>0</v>
      </c>
      <c r="M302">
        <f ca="1">IFERROR(__xludf.DUMMYFUNCTION("""COMPUTED_VALUE"""),1)</f>
        <v>1</v>
      </c>
      <c r="N302" s="8"/>
    </row>
    <row r="303" spans="1:14" ht="12.45" hidden="1">
      <c r="A303" t="str">
        <f ca="1">IFERROR(__xludf.DUMMYFUNCTION("""COMPUTED_VALUE"""),"III-2-172")</f>
        <v>III-2-172</v>
      </c>
      <c r="B303" t="str">
        <f ca="1">IFERROR(__xludf.DUMMYFUNCTION("""COMPUTED_VALUE"""),"Ибраева")</f>
        <v>Ибраева</v>
      </c>
      <c r="C303" t="str">
        <f ca="1">IFERROR(__xludf.DUMMYFUNCTION("""COMPUTED_VALUE"""),"Алина")</f>
        <v>Алина</v>
      </c>
      <c r="D303" t="str">
        <f ca="1">IFERROR(__xludf.DUMMYFUNCTION("""COMPUTED_VALUE"""),"Гимназия 343")</f>
        <v>Гимназия 343</v>
      </c>
      <c r="E303" s="5">
        <f ca="1">IFERROR(__xludf.DUMMYFUNCTION("""COMPUTED_VALUE"""),0)</f>
        <v>0</v>
      </c>
      <c r="F303" s="5">
        <f ca="1">IFERROR(__xludf.DUMMYFUNCTION("""COMPUTED_VALUE"""),1)</f>
        <v>1</v>
      </c>
      <c r="G303" s="5">
        <f ca="1">IFERROR(__xludf.DUMMYFUNCTION("""COMPUTED_VALUE"""),0)</f>
        <v>0</v>
      </c>
      <c r="H303" s="5">
        <f ca="1">IFERROR(__xludf.DUMMYFUNCTION("""COMPUTED_VALUE"""),0)</f>
        <v>0</v>
      </c>
      <c r="I303" s="5">
        <f ca="1">IFERROR(__xludf.DUMMYFUNCTION("""COMPUTED_VALUE"""),0)</f>
        <v>0</v>
      </c>
      <c r="J303" s="5">
        <f ca="1">IFERROR(__xludf.DUMMYFUNCTION("""COMPUTED_VALUE"""),0)</f>
        <v>0</v>
      </c>
      <c r="K303" s="5">
        <f ca="1">IFERROR(__xludf.DUMMYFUNCTION("""COMPUTED_VALUE"""),0)</f>
        <v>0</v>
      </c>
      <c r="L303" s="5">
        <f ca="1">IFERROR(__xludf.DUMMYFUNCTION("""COMPUTED_VALUE"""),0)</f>
        <v>0</v>
      </c>
      <c r="M303">
        <f ca="1">IFERROR(__xludf.DUMMYFUNCTION("""COMPUTED_VALUE"""),1)</f>
        <v>1</v>
      </c>
      <c r="N303" s="8"/>
    </row>
    <row r="304" spans="1:14" ht="12.45" hidden="1">
      <c r="A304" t="str">
        <f ca="1">IFERROR(__xludf.DUMMYFUNCTION("""COMPUTED_VALUE"""),"V-2-409")</f>
        <v>V-2-409</v>
      </c>
      <c r="B304" t="str">
        <f ca="1">IFERROR(__xludf.DUMMYFUNCTION("""COMPUTED_VALUE"""),"Спафопуло")</f>
        <v>Спафопуло</v>
      </c>
      <c r="C304" t="str">
        <f ca="1">IFERROR(__xludf.DUMMYFUNCTION("""COMPUTED_VALUE"""),"Никита")</f>
        <v>Никита</v>
      </c>
      <c r="D304" t="str">
        <f ca="1">IFERROR(__xludf.DUMMYFUNCTION("""COMPUTED_VALUE"""),"Гимназия 343")</f>
        <v>Гимназия 343</v>
      </c>
      <c r="E304" s="5">
        <f ca="1">IFERROR(__xludf.DUMMYFUNCTION("""COMPUTED_VALUE"""),0)</f>
        <v>0</v>
      </c>
      <c r="F304" s="5">
        <f ca="1">IFERROR(__xludf.DUMMYFUNCTION("""COMPUTED_VALUE"""),1)</f>
        <v>1</v>
      </c>
      <c r="G304" s="5">
        <f ca="1">IFERROR(__xludf.DUMMYFUNCTION("""COMPUTED_VALUE"""),0)</f>
        <v>0</v>
      </c>
      <c r="H304" s="5">
        <f ca="1">IFERROR(__xludf.DUMMYFUNCTION("""COMPUTED_VALUE"""),0)</f>
        <v>0</v>
      </c>
      <c r="I304" s="5">
        <f ca="1">IFERROR(__xludf.DUMMYFUNCTION("""COMPUTED_VALUE"""),0)</f>
        <v>0</v>
      </c>
      <c r="J304" s="5">
        <f ca="1">IFERROR(__xludf.DUMMYFUNCTION("""COMPUTED_VALUE"""),0)</f>
        <v>0</v>
      </c>
      <c r="K304" s="5">
        <f ca="1">IFERROR(__xludf.DUMMYFUNCTION("""COMPUTED_VALUE"""),0)</f>
        <v>0</v>
      </c>
      <c r="L304" s="5">
        <f ca="1">IFERROR(__xludf.DUMMYFUNCTION("""COMPUTED_VALUE"""),0)</f>
        <v>0</v>
      </c>
      <c r="M304">
        <f ca="1">IFERROR(__xludf.DUMMYFUNCTION("""COMPUTED_VALUE"""),1)</f>
        <v>1</v>
      </c>
      <c r="N304" s="8"/>
    </row>
    <row r="305" spans="1:14" ht="12.45" hidden="1">
      <c r="A305" t="str">
        <f ca="1">IFERROR(__xludf.DUMMYFUNCTION("""COMPUTED_VALUE"""),"V-2-333")</f>
        <v>V-2-333</v>
      </c>
      <c r="B305" t="str">
        <f ca="1">IFERROR(__xludf.DUMMYFUNCTION("""COMPUTED_VALUE"""),"Платова")</f>
        <v>Платова</v>
      </c>
      <c r="C305" t="str">
        <f ca="1">IFERROR(__xludf.DUMMYFUNCTION("""COMPUTED_VALUE"""),"Анна")</f>
        <v>Анна</v>
      </c>
      <c r="D305" t="str">
        <f ca="1">IFERROR(__xludf.DUMMYFUNCTION("""COMPUTED_VALUE"""),"Школа 593")</f>
        <v>Школа 593</v>
      </c>
      <c r="E305" s="5">
        <f ca="1">IFERROR(__xludf.DUMMYFUNCTION("""COMPUTED_VALUE"""),0)</f>
        <v>0</v>
      </c>
      <c r="F305" s="5">
        <f ca="1">IFERROR(__xludf.DUMMYFUNCTION("""COMPUTED_VALUE"""),1)</f>
        <v>1</v>
      </c>
      <c r="G305" s="5">
        <f ca="1">IFERROR(__xludf.DUMMYFUNCTION("""COMPUTED_VALUE"""),0)</f>
        <v>0</v>
      </c>
      <c r="H305" s="5">
        <f ca="1">IFERROR(__xludf.DUMMYFUNCTION("""COMPUTED_VALUE"""),0)</f>
        <v>0</v>
      </c>
      <c r="I305" s="5">
        <f ca="1">IFERROR(__xludf.DUMMYFUNCTION("""COMPUTED_VALUE"""),0)</f>
        <v>0</v>
      </c>
      <c r="J305" s="5">
        <f ca="1">IFERROR(__xludf.DUMMYFUNCTION("""COMPUTED_VALUE"""),0)</f>
        <v>0</v>
      </c>
      <c r="K305" s="5">
        <f ca="1">IFERROR(__xludf.DUMMYFUNCTION("""COMPUTED_VALUE"""),0)</f>
        <v>0</v>
      </c>
      <c r="L305" s="5">
        <f ca="1">IFERROR(__xludf.DUMMYFUNCTION("""COMPUTED_VALUE"""),0)</f>
        <v>0</v>
      </c>
      <c r="M305">
        <f ca="1">IFERROR(__xludf.DUMMYFUNCTION("""COMPUTED_VALUE"""),1)</f>
        <v>1</v>
      </c>
      <c r="N305" s="8"/>
    </row>
    <row r="306" spans="1:14" ht="12.45" hidden="1">
      <c r="A306" t="str">
        <f ca="1">IFERROR(__xludf.DUMMYFUNCTION("""COMPUTED_VALUE"""),"III-2-201")</f>
        <v>III-2-201</v>
      </c>
      <c r="B306" t="str">
        <f ca="1">IFERROR(__xludf.DUMMYFUNCTION("""COMPUTED_VALUE"""),"Кидалов")</f>
        <v>Кидалов</v>
      </c>
      <c r="C306" t="str">
        <f ca="1">IFERROR(__xludf.DUMMYFUNCTION("""COMPUTED_VALUE"""),"Дмитрий")</f>
        <v>Дмитрий</v>
      </c>
      <c r="D306" t="str">
        <f ca="1">IFERROR(__xludf.DUMMYFUNCTION("""COMPUTED_VALUE"""),"Школа 300")</f>
        <v>Школа 300</v>
      </c>
      <c r="E306" s="5">
        <f ca="1">IFERROR(__xludf.DUMMYFUNCTION("""COMPUTED_VALUE"""),1)</f>
        <v>1</v>
      </c>
      <c r="F306" s="5">
        <f ca="1">IFERROR(__xludf.DUMMYFUNCTION("""COMPUTED_VALUE"""),0)</f>
        <v>0</v>
      </c>
      <c r="G306" s="5">
        <f ca="1">IFERROR(__xludf.DUMMYFUNCTION("""COMPUTED_VALUE"""),0)</f>
        <v>0</v>
      </c>
      <c r="H306" s="5">
        <f ca="1">IFERROR(__xludf.DUMMYFUNCTION("""COMPUTED_VALUE"""),0)</f>
        <v>0</v>
      </c>
      <c r="I306" s="5">
        <f ca="1">IFERROR(__xludf.DUMMYFUNCTION("""COMPUTED_VALUE"""),0)</f>
        <v>0</v>
      </c>
      <c r="J306" s="5">
        <f ca="1">IFERROR(__xludf.DUMMYFUNCTION("""COMPUTED_VALUE"""),0)</f>
        <v>0</v>
      </c>
      <c r="K306" s="5">
        <f ca="1">IFERROR(__xludf.DUMMYFUNCTION("""COMPUTED_VALUE"""),0)</f>
        <v>0</v>
      </c>
      <c r="L306" s="5">
        <f ca="1">IFERROR(__xludf.DUMMYFUNCTION("""COMPUTED_VALUE"""),0)</f>
        <v>0</v>
      </c>
      <c r="M306">
        <f ca="1">IFERROR(__xludf.DUMMYFUNCTION("""COMPUTED_VALUE"""),1)</f>
        <v>1</v>
      </c>
      <c r="N306" s="8"/>
    </row>
    <row r="307" spans="1:14" ht="12.45" hidden="1">
      <c r="A307" t="str">
        <f ca="1">IFERROR(__xludf.DUMMYFUNCTION("""COMPUTED_VALUE"""),"V-2-473")</f>
        <v>V-2-473</v>
      </c>
      <c r="B307" t="str">
        <f ca="1">IFERROR(__xludf.DUMMYFUNCTION("""COMPUTED_VALUE"""),"Шусталов")</f>
        <v>Шусталов</v>
      </c>
      <c r="C307" t="str">
        <f ca="1">IFERROR(__xludf.DUMMYFUNCTION("""COMPUTED_VALUE"""),"Степан")</f>
        <v>Степан</v>
      </c>
      <c r="D307" t="str">
        <f ca="1">IFERROR(__xludf.DUMMYFUNCTION("""COMPUTED_VALUE"""),"Школа 598")</f>
        <v>Школа 598</v>
      </c>
      <c r="E307" s="5">
        <f ca="1">IFERROR(__xludf.DUMMYFUNCTION("""COMPUTED_VALUE"""),1)</f>
        <v>1</v>
      </c>
      <c r="F307" s="5">
        <f ca="1">IFERROR(__xludf.DUMMYFUNCTION("""COMPUTED_VALUE"""),0)</f>
        <v>0</v>
      </c>
      <c r="G307" s="5">
        <f ca="1">IFERROR(__xludf.DUMMYFUNCTION("""COMPUTED_VALUE"""),0)</f>
        <v>0</v>
      </c>
      <c r="H307" s="5">
        <f ca="1">IFERROR(__xludf.DUMMYFUNCTION("""COMPUTED_VALUE"""),0)</f>
        <v>0</v>
      </c>
      <c r="I307" s="5">
        <f ca="1">IFERROR(__xludf.DUMMYFUNCTION("""COMPUTED_VALUE"""),0)</f>
        <v>0</v>
      </c>
      <c r="J307" s="5">
        <f ca="1">IFERROR(__xludf.DUMMYFUNCTION("""COMPUTED_VALUE"""),0)</f>
        <v>0</v>
      </c>
      <c r="K307" s="5">
        <f ca="1">IFERROR(__xludf.DUMMYFUNCTION("""COMPUTED_VALUE"""),0)</f>
        <v>0</v>
      </c>
      <c r="L307" s="5">
        <f ca="1">IFERROR(__xludf.DUMMYFUNCTION("""COMPUTED_VALUE"""),0)</f>
        <v>0</v>
      </c>
      <c r="M307">
        <f ca="1">IFERROR(__xludf.DUMMYFUNCTION("""COMPUTED_VALUE"""),1)</f>
        <v>1</v>
      </c>
      <c r="N307" s="8"/>
    </row>
    <row r="308" spans="1:14" ht="12.45" hidden="1">
      <c r="A308" t="str">
        <f ca="1">IFERROR(__xludf.DUMMYFUNCTION("""COMPUTED_VALUE"""),"III-2-074")</f>
        <v>III-2-074</v>
      </c>
      <c r="B308" t="str">
        <f ca="1">IFERROR(__xludf.DUMMYFUNCTION("""COMPUTED_VALUE"""),"Веретенников")</f>
        <v>Веретенников</v>
      </c>
      <c r="C308" t="str">
        <f ca="1">IFERROR(__xludf.DUMMYFUNCTION("""COMPUTED_VALUE"""),"Георгий")</f>
        <v>Георгий</v>
      </c>
      <c r="D308" t="str">
        <f ca="1">IFERROR(__xludf.DUMMYFUNCTION("""COMPUTED_VALUE"""),"Гимназия 271")</f>
        <v>Гимназия 271</v>
      </c>
      <c r="E308" s="5">
        <f ca="1">IFERROR(__xludf.DUMMYFUNCTION("""COMPUTED_VALUE"""),1)</f>
        <v>1</v>
      </c>
      <c r="F308" s="5">
        <f ca="1">IFERROR(__xludf.DUMMYFUNCTION("""COMPUTED_VALUE"""),0)</f>
        <v>0</v>
      </c>
      <c r="G308" s="5">
        <f ca="1">IFERROR(__xludf.DUMMYFUNCTION("""COMPUTED_VALUE"""),0)</f>
        <v>0</v>
      </c>
      <c r="H308" s="5">
        <f ca="1">IFERROR(__xludf.DUMMYFUNCTION("""COMPUTED_VALUE"""),0)</f>
        <v>0</v>
      </c>
      <c r="I308" s="5">
        <f ca="1">IFERROR(__xludf.DUMMYFUNCTION("""COMPUTED_VALUE"""),0)</f>
        <v>0</v>
      </c>
      <c r="J308" s="5">
        <f ca="1">IFERROR(__xludf.DUMMYFUNCTION("""COMPUTED_VALUE"""),0)</f>
        <v>0</v>
      </c>
      <c r="K308" s="5">
        <f ca="1">IFERROR(__xludf.DUMMYFUNCTION("""COMPUTED_VALUE"""),0)</f>
        <v>0</v>
      </c>
      <c r="L308" s="5">
        <f ca="1">IFERROR(__xludf.DUMMYFUNCTION("""COMPUTED_VALUE"""),0)</f>
        <v>0</v>
      </c>
      <c r="M308">
        <f ca="1">IFERROR(__xludf.DUMMYFUNCTION("""COMPUTED_VALUE"""),1)</f>
        <v>1</v>
      </c>
      <c r="N308" s="8"/>
    </row>
    <row r="309" spans="1:14" ht="12.45" hidden="1">
      <c r="A309" t="str">
        <f ca="1">IFERROR(__xludf.DUMMYFUNCTION("""COMPUTED_VALUE"""),"III-2-014")</f>
        <v>III-2-014</v>
      </c>
      <c r="B309" t="str">
        <f ca="1">IFERROR(__xludf.DUMMYFUNCTION("""COMPUTED_VALUE"""),"Амбросов")</f>
        <v>Амбросов</v>
      </c>
      <c r="C309" t="str">
        <f ca="1">IFERROR(__xludf.DUMMYFUNCTION("""COMPUTED_VALUE"""),"Глеб")</f>
        <v>Глеб</v>
      </c>
      <c r="D309" t="str">
        <f ca="1">IFERROR(__xludf.DUMMYFUNCTION("""COMPUTED_VALUE"""),"Школа 316")</f>
        <v>Школа 316</v>
      </c>
      <c r="E309" s="5">
        <f ca="1">IFERROR(__xludf.DUMMYFUNCTION("""COMPUTED_VALUE"""),1)</f>
        <v>1</v>
      </c>
      <c r="F309" s="5">
        <f ca="1">IFERROR(__xludf.DUMMYFUNCTION("""COMPUTED_VALUE"""),0)</f>
        <v>0</v>
      </c>
      <c r="G309" s="5">
        <f ca="1">IFERROR(__xludf.DUMMYFUNCTION("""COMPUTED_VALUE"""),0)</f>
        <v>0</v>
      </c>
      <c r="H309" s="5">
        <f ca="1">IFERROR(__xludf.DUMMYFUNCTION("""COMPUTED_VALUE"""),0)</f>
        <v>0</v>
      </c>
      <c r="I309" s="5">
        <f ca="1">IFERROR(__xludf.DUMMYFUNCTION("""COMPUTED_VALUE"""),0)</f>
        <v>0</v>
      </c>
      <c r="J309" s="5">
        <f ca="1">IFERROR(__xludf.DUMMYFUNCTION("""COMPUTED_VALUE"""),0)</f>
        <v>0</v>
      </c>
      <c r="K309" s="5">
        <f ca="1">IFERROR(__xludf.DUMMYFUNCTION("""COMPUTED_VALUE"""),0)</f>
        <v>0</v>
      </c>
      <c r="L309" s="5">
        <f ca="1">IFERROR(__xludf.DUMMYFUNCTION("""COMPUTED_VALUE"""),0)</f>
        <v>0</v>
      </c>
      <c r="M309">
        <f ca="1">IFERROR(__xludf.DUMMYFUNCTION("""COMPUTED_VALUE"""),1)</f>
        <v>1</v>
      </c>
      <c r="N309" s="8"/>
    </row>
    <row r="310" spans="1:14" ht="12.45" hidden="1">
      <c r="A310" t="str">
        <f ca="1">IFERROR(__xludf.DUMMYFUNCTION("""COMPUTED_VALUE"""),"III-2-035")</f>
        <v>III-2-035</v>
      </c>
      <c r="B310" t="str">
        <f ca="1">IFERROR(__xludf.DUMMYFUNCTION("""COMPUTED_VALUE"""),"Бакулина")</f>
        <v>Бакулина</v>
      </c>
      <c r="C310" t="str">
        <f ca="1">IFERROR(__xludf.DUMMYFUNCTION("""COMPUTED_VALUE"""),"София")</f>
        <v>София</v>
      </c>
      <c r="D310" t="str">
        <f ca="1">IFERROR(__xludf.DUMMYFUNCTION("""COMPUTED_VALUE"""),"Школа 409")</f>
        <v>Школа 409</v>
      </c>
      <c r="E310" s="5">
        <f ca="1">IFERROR(__xludf.DUMMYFUNCTION("""COMPUTED_VALUE"""),1)</f>
        <v>1</v>
      </c>
      <c r="F310" s="5">
        <f ca="1">IFERROR(__xludf.DUMMYFUNCTION("""COMPUTED_VALUE"""),0)</f>
        <v>0</v>
      </c>
      <c r="G310" s="5">
        <f ca="1">IFERROR(__xludf.DUMMYFUNCTION("""COMPUTED_VALUE"""),0)</f>
        <v>0</v>
      </c>
      <c r="H310" s="5">
        <f ca="1">IFERROR(__xludf.DUMMYFUNCTION("""COMPUTED_VALUE"""),0)</f>
        <v>0</v>
      </c>
      <c r="I310" s="5">
        <f ca="1">IFERROR(__xludf.DUMMYFUNCTION("""COMPUTED_VALUE"""),0)</f>
        <v>0</v>
      </c>
      <c r="J310" s="5">
        <f ca="1">IFERROR(__xludf.DUMMYFUNCTION("""COMPUTED_VALUE"""),0)</f>
        <v>0</v>
      </c>
      <c r="K310" s="5">
        <f ca="1">IFERROR(__xludf.DUMMYFUNCTION("""COMPUTED_VALUE"""),0)</f>
        <v>0</v>
      </c>
      <c r="L310" s="5">
        <f ca="1">IFERROR(__xludf.DUMMYFUNCTION("""COMPUTED_VALUE"""),0)</f>
        <v>0</v>
      </c>
      <c r="M310">
        <f ca="1">IFERROR(__xludf.DUMMYFUNCTION("""COMPUTED_VALUE"""),1)</f>
        <v>1</v>
      </c>
      <c r="N310" s="8"/>
    </row>
    <row r="311" spans="1:14" ht="12.45" hidden="1">
      <c r="A311" t="str">
        <f ca="1">IFERROR(__xludf.DUMMYFUNCTION("""COMPUTED_VALUE"""),"V-2-284")</f>
        <v>V-2-284</v>
      </c>
      <c r="B311" t="str">
        <f ca="1">IFERROR(__xludf.DUMMYFUNCTION("""COMPUTED_VALUE"""),"Меленков")</f>
        <v>Меленков</v>
      </c>
      <c r="C311" t="str">
        <f ca="1">IFERROR(__xludf.DUMMYFUNCTION("""COMPUTED_VALUE"""),"Роман")</f>
        <v>Роман</v>
      </c>
      <c r="D311" t="str">
        <f ca="1">IFERROR(__xludf.DUMMYFUNCTION("""COMPUTED_VALUE"""),"Школа 409")</f>
        <v>Школа 409</v>
      </c>
      <c r="E311" s="5">
        <f ca="1">IFERROR(__xludf.DUMMYFUNCTION("""COMPUTED_VALUE"""),0)</f>
        <v>0</v>
      </c>
      <c r="F311" s="5">
        <f ca="1">IFERROR(__xludf.DUMMYFUNCTION("""COMPUTED_VALUE"""),1)</f>
        <v>1</v>
      </c>
      <c r="G311" s="5">
        <f ca="1">IFERROR(__xludf.DUMMYFUNCTION("""COMPUTED_VALUE"""),0)</f>
        <v>0</v>
      </c>
      <c r="H311" s="5">
        <f ca="1">IFERROR(__xludf.DUMMYFUNCTION("""COMPUTED_VALUE"""),0)</f>
        <v>0</v>
      </c>
      <c r="I311" s="5">
        <f ca="1">IFERROR(__xludf.DUMMYFUNCTION("""COMPUTED_VALUE"""),0)</f>
        <v>0</v>
      </c>
      <c r="J311" s="5">
        <f ca="1">IFERROR(__xludf.DUMMYFUNCTION("""COMPUTED_VALUE"""),0)</f>
        <v>0</v>
      </c>
      <c r="K311" s="5">
        <f ca="1">IFERROR(__xludf.DUMMYFUNCTION("""COMPUTED_VALUE"""),0)</f>
        <v>0</v>
      </c>
      <c r="L311" s="5">
        <f ca="1">IFERROR(__xludf.DUMMYFUNCTION("""COMPUTED_VALUE"""),0)</f>
        <v>0</v>
      </c>
      <c r="M311">
        <f ca="1">IFERROR(__xludf.DUMMYFUNCTION("""COMPUTED_VALUE"""),1)</f>
        <v>1</v>
      </c>
      <c r="N311" s="8"/>
    </row>
    <row r="312" spans="1:14" ht="12.45" hidden="1">
      <c r="A312" t="str">
        <f ca="1">IFERROR(__xludf.DUMMYFUNCTION("""COMPUTED_VALUE"""),"V-2-250")</f>
        <v>V-2-250</v>
      </c>
      <c r="B312" t="str">
        <f ca="1">IFERROR(__xludf.DUMMYFUNCTION("""COMPUTED_VALUE"""),"Левашев")</f>
        <v>Левашев</v>
      </c>
      <c r="C312" t="str">
        <f ca="1">IFERROR(__xludf.DUMMYFUNCTION("""COMPUTED_VALUE"""),"Глеб")</f>
        <v>Глеб</v>
      </c>
      <c r="D312" t="str">
        <f ca="1">IFERROR(__xludf.DUMMYFUNCTION("""COMPUTED_VALUE"""),"Гимназия 271")</f>
        <v>Гимназия 271</v>
      </c>
      <c r="E312" s="5">
        <f ca="1">IFERROR(__xludf.DUMMYFUNCTION("""COMPUTED_VALUE"""),0)</f>
        <v>0</v>
      </c>
      <c r="F312" s="5">
        <f ca="1">IFERROR(__xludf.DUMMYFUNCTION("""COMPUTED_VALUE"""),1)</f>
        <v>1</v>
      </c>
      <c r="G312" s="5">
        <f ca="1">IFERROR(__xludf.DUMMYFUNCTION("""COMPUTED_VALUE"""),0)</f>
        <v>0</v>
      </c>
      <c r="H312" s="5">
        <f ca="1">IFERROR(__xludf.DUMMYFUNCTION("""COMPUTED_VALUE"""),0)</f>
        <v>0</v>
      </c>
      <c r="I312" s="5">
        <f ca="1">IFERROR(__xludf.DUMMYFUNCTION("""COMPUTED_VALUE"""),0)</f>
        <v>0</v>
      </c>
      <c r="J312" s="5">
        <f ca="1">IFERROR(__xludf.DUMMYFUNCTION("""COMPUTED_VALUE"""),0)</f>
        <v>0</v>
      </c>
      <c r="K312" s="5">
        <f ca="1">IFERROR(__xludf.DUMMYFUNCTION("""COMPUTED_VALUE"""),0)</f>
        <v>0</v>
      </c>
      <c r="L312" s="5">
        <f ca="1">IFERROR(__xludf.DUMMYFUNCTION("""COMPUTED_VALUE"""),0)</f>
        <v>0</v>
      </c>
      <c r="M312">
        <f ca="1">IFERROR(__xludf.DUMMYFUNCTION("""COMPUTED_VALUE"""),1)</f>
        <v>1</v>
      </c>
      <c r="N312" s="8"/>
    </row>
    <row r="313" spans="1:14" ht="12.45" hidden="1">
      <c r="A313" t="str">
        <f ca="1">IFERROR(__xludf.DUMMYFUNCTION("""COMPUTED_VALUE"""),"V-2-456")</f>
        <v>V-2-456</v>
      </c>
      <c r="B313" t="str">
        <f ca="1">IFERROR(__xludf.DUMMYFUNCTION("""COMPUTED_VALUE"""),"Черницова")</f>
        <v>Черницова</v>
      </c>
      <c r="C313" t="str">
        <f ca="1">IFERROR(__xludf.DUMMYFUNCTION("""COMPUTED_VALUE"""),"София")</f>
        <v>София</v>
      </c>
      <c r="D313" t="str">
        <f ca="1">IFERROR(__xludf.DUMMYFUNCTION("""COMPUTED_VALUE"""),"Школа 471")</f>
        <v>Школа 471</v>
      </c>
      <c r="E313" s="5">
        <f ca="1">IFERROR(__xludf.DUMMYFUNCTION("""COMPUTED_VALUE"""),0)</f>
        <v>0</v>
      </c>
      <c r="F313" s="5">
        <f ca="1">IFERROR(__xludf.DUMMYFUNCTION("""COMPUTED_VALUE"""),1)</f>
        <v>1</v>
      </c>
      <c r="G313" s="5">
        <f ca="1">IFERROR(__xludf.DUMMYFUNCTION("""COMPUTED_VALUE"""),0)</f>
        <v>0</v>
      </c>
      <c r="H313" s="5">
        <f ca="1">IFERROR(__xludf.DUMMYFUNCTION("""COMPUTED_VALUE"""),0)</f>
        <v>0</v>
      </c>
      <c r="I313" s="5">
        <f ca="1">IFERROR(__xludf.DUMMYFUNCTION("""COMPUTED_VALUE"""),0)</f>
        <v>0</v>
      </c>
      <c r="J313" s="5">
        <f ca="1">IFERROR(__xludf.DUMMYFUNCTION("""COMPUTED_VALUE"""),0)</f>
        <v>0</v>
      </c>
      <c r="K313" s="5">
        <f ca="1">IFERROR(__xludf.DUMMYFUNCTION("""COMPUTED_VALUE"""),0)</f>
        <v>0</v>
      </c>
      <c r="L313" s="5">
        <f ca="1">IFERROR(__xludf.DUMMYFUNCTION("""COMPUTED_VALUE"""),0)</f>
        <v>0</v>
      </c>
      <c r="M313">
        <f ca="1">IFERROR(__xludf.DUMMYFUNCTION("""COMPUTED_VALUE"""),1)</f>
        <v>1</v>
      </c>
      <c r="N313" s="8"/>
    </row>
    <row r="314" spans="1:14" ht="12.45" hidden="1">
      <c r="A314" t="str">
        <f ca="1">IFERROR(__xludf.DUMMYFUNCTION("""COMPUTED_VALUE"""),"V-2-477")</f>
        <v>V-2-477</v>
      </c>
      <c r="B314" t="str">
        <f ca="1">IFERROR(__xludf.DUMMYFUNCTION("""COMPUTED_VALUE"""),"Яковлев")</f>
        <v>Яковлев</v>
      </c>
      <c r="C314" t="str">
        <f ca="1">IFERROR(__xludf.DUMMYFUNCTION("""COMPUTED_VALUE"""),"Ярослав")</f>
        <v>Ярослав</v>
      </c>
      <c r="D314" t="str">
        <f ca="1">IFERROR(__xludf.DUMMYFUNCTION("""COMPUTED_VALUE"""),"Школа 494")</f>
        <v>Школа 494</v>
      </c>
      <c r="E314" s="5">
        <f ca="1">IFERROR(__xludf.DUMMYFUNCTION("""COMPUTED_VALUE"""),0)</f>
        <v>0</v>
      </c>
      <c r="F314" s="5">
        <f ca="1">IFERROR(__xludf.DUMMYFUNCTION("""COMPUTED_VALUE"""),1)</f>
        <v>1</v>
      </c>
      <c r="G314" s="5">
        <f ca="1">IFERROR(__xludf.DUMMYFUNCTION("""COMPUTED_VALUE"""),0)</f>
        <v>0</v>
      </c>
      <c r="H314" s="5">
        <f ca="1">IFERROR(__xludf.DUMMYFUNCTION("""COMPUTED_VALUE"""),0)</f>
        <v>0</v>
      </c>
      <c r="I314" s="5">
        <f ca="1">IFERROR(__xludf.DUMMYFUNCTION("""COMPUTED_VALUE"""),0)</f>
        <v>0</v>
      </c>
      <c r="J314" s="5">
        <f ca="1">IFERROR(__xludf.DUMMYFUNCTION("""COMPUTED_VALUE"""),0)</f>
        <v>0</v>
      </c>
      <c r="K314" s="5">
        <f ca="1">IFERROR(__xludf.DUMMYFUNCTION("""COMPUTED_VALUE"""),0)</f>
        <v>0</v>
      </c>
      <c r="L314" s="5">
        <f ca="1">IFERROR(__xludf.DUMMYFUNCTION("""COMPUTED_VALUE"""),0)</f>
        <v>0</v>
      </c>
      <c r="M314">
        <f ca="1">IFERROR(__xludf.DUMMYFUNCTION("""COMPUTED_VALUE"""),1)</f>
        <v>1</v>
      </c>
      <c r="N314" s="8"/>
    </row>
    <row r="315" spans="1:14" ht="12.45" hidden="1">
      <c r="A315" t="str">
        <f ca="1">IFERROR(__xludf.DUMMYFUNCTION("""COMPUTED_VALUE"""),"III-2-054")</f>
        <v>III-2-054</v>
      </c>
      <c r="B315" t="str">
        <f ca="1">IFERROR(__xludf.DUMMYFUNCTION("""COMPUTED_VALUE"""),"Богомолов")</f>
        <v>Богомолов</v>
      </c>
      <c r="C315" t="str">
        <f ca="1">IFERROR(__xludf.DUMMYFUNCTION("""COMPUTED_VALUE"""),"Богдан")</f>
        <v>Богдан</v>
      </c>
      <c r="D315" t="str">
        <f ca="1">IFERROR(__xludf.DUMMYFUNCTION("""COMPUTED_VALUE"""),"Школа 639")</f>
        <v>Школа 639</v>
      </c>
      <c r="E315" s="5"/>
      <c r="F315" s="5"/>
      <c r="G315" s="5"/>
      <c r="H315" s="5"/>
      <c r="I315" s="5"/>
      <c r="J315" s="5"/>
      <c r="K315" s="5"/>
      <c r="L315" s="5"/>
      <c r="M315">
        <f ca="1">IFERROR(__xludf.DUMMYFUNCTION("""COMPUTED_VALUE"""),0)</f>
        <v>0</v>
      </c>
      <c r="N315" s="8"/>
    </row>
    <row r="316" spans="1:14" ht="12.45" hidden="1">
      <c r="A316" t="str">
        <f ca="1">IFERROR(__xludf.DUMMYFUNCTION("""COMPUTED_VALUE"""),"III-2-117")</f>
        <v>III-2-117</v>
      </c>
      <c r="B316" t="str">
        <f ca="1">IFERROR(__xludf.DUMMYFUNCTION("""COMPUTED_VALUE"""),"Грошева")</f>
        <v>Грошева</v>
      </c>
      <c r="C316" t="str">
        <f ca="1">IFERROR(__xludf.DUMMYFUNCTION("""COMPUTED_VALUE"""),"Елена")</f>
        <v>Елена</v>
      </c>
      <c r="D316" t="str">
        <f ca="1">IFERROR(__xludf.DUMMYFUNCTION("""COMPUTED_VALUE"""),"Школа CLS")</f>
        <v>Школа CLS</v>
      </c>
      <c r="E316" s="5"/>
      <c r="F316" s="5"/>
      <c r="G316" s="5"/>
      <c r="H316" s="5"/>
      <c r="I316" s="5"/>
      <c r="J316" s="5"/>
      <c r="K316" s="5"/>
      <c r="L316" s="5"/>
      <c r="M316">
        <f ca="1">IFERROR(__xludf.DUMMYFUNCTION("""COMPUTED_VALUE"""),0)</f>
        <v>0</v>
      </c>
      <c r="N316" s="8"/>
    </row>
    <row r="317" spans="1:14" ht="12.45" hidden="1">
      <c r="A317" t="str">
        <f ca="1">IFERROR(__xludf.DUMMYFUNCTION("""COMPUTED_VALUE"""),"III-2-123")</f>
        <v>III-2-123</v>
      </c>
      <c r="B317" t="str">
        <f ca="1">IFERROR(__xludf.DUMMYFUNCTION("""COMPUTED_VALUE"""),"Данкевич")</f>
        <v>Данкевич</v>
      </c>
      <c r="C317" t="str">
        <f ca="1">IFERROR(__xludf.DUMMYFUNCTION("""COMPUTED_VALUE"""),"Анастасия")</f>
        <v>Анастасия</v>
      </c>
      <c r="D317" t="str">
        <f ca="1">IFERROR(__xludf.DUMMYFUNCTION("""COMPUTED_VALUE"""),"Школа 354")</f>
        <v>Школа 354</v>
      </c>
      <c r="E317" s="5"/>
      <c r="F317" s="5"/>
      <c r="G317" s="5"/>
      <c r="H317" s="5"/>
      <c r="I317" s="5"/>
      <c r="J317" s="5"/>
      <c r="K317" s="5"/>
      <c r="L317" s="5"/>
      <c r="M317">
        <f ca="1">IFERROR(__xludf.DUMMYFUNCTION("""COMPUTED_VALUE"""),0)</f>
        <v>0</v>
      </c>
      <c r="N317" s="8"/>
    </row>
    <row r="318" spans="1:14" ht="12.45" hidden="1">
      <c r="A318" t="str">
        <f ca="1">IFERROR(__xludf.DUMMYFUNCTION("""COMPUTED_VALUE"""),"III-2-126")</f>
        <v>III-2-126</v>
      </c>
      <c r="B318" t="str">
        <f ca="1">IFERROR(__xludf.DUMMYFUNCTION("""COMPUTED_VALUE"""),"Двойникова")</f>
        <v>Двойникова</v>
      </c>
      <c r="C318" t="str">
        <f ca="1">IFERROR(__xludf.DUMMYFUNCTION("""COMPUTED_VALUE"""),"Альбина")</f>
        <v>Альбина</v>
      </c>
      <c r="D318" t="str">
        <f ca="1">IFERROR(__xludf.DUMMYFUNCTION("""COMPUTED_VALUE"""),"Школа 266")</f>
        <v>Школа 266</v>
      </c>
      <c r="E318" s="5"/>
      <c r="F318" s="5"/>
      <c r="G318" s="5"/>
      <c r="H318" s="5"/>
      <c r="I318" s="5"/>
      <c r="J318" s="5"/>
      <c r="K318" s="5"/>
      <c r="L318" s="5"/>
      <c r="M318">
        <f ca="1">IFERROR(__xludf.DUMMYFUNCTION("""COMPUTED_VALUE"""),0)</f>
        <v>0</v>
      </c>
      <c r="N318" s="8"/>
    </row>
    <row r="319" spans="1:14" ht="12.45" hidden="1">
      <c r="A319" t="str">
        <f ca="1">IFERROR(__xludf.DUMMYFUNCTION("""COMPUTED_VALUE"""),"III-2-129")</f>
        <v>III-2-129</v>
      </c>
      <c r="B319" t="str">
        <f ca="1">IFERROR(__xludf.DUMMYFUNCTION("""COMPUTED_VALUE"""),"Дедкова")</f>
        <v>Дедкова</v>
      </c>
      <c r="C319" t="str">
        <f ca="1">IFERROR(__xludf.DUMMYFUNCTION("""COMPUTED_VALUE"""),"Елизавета")</f>
        <v>Елизавета</v>
      </c>
      <c r="D319" t="str">
        <f ca="1">IFERROR(__xludf.DUMMYFUNCTION("""COMPUTED_VALUE"""),"Гимназия 271")</f>
        <v>Гимназия 271</v>
      </c>
      <c r="E319" s="5"/>
      <c r="F319" s="5"/>
      <c r="G319" s="5"/>
      <c r="H319" s="5"/>
      <c r="I319" s="5"/>
      <c r="J319" s="5"/>
      <c r="K319" s="5"/>
      <c r="L319" s="5"/>
      <c r="M319">
        <f ca="1">IFERROR(__xludf.DUMMYFUNCTION("""COMPUTED_VALUE"""),0)</f>
        <v>0</v>
      </c>
      <c r="N319" s="8"/>
    </row>
    <row r="320" spans="1:14" ht="12.45" hidden="1">
      <c r="A320" t="str">
        <f ca="1">IFERROR(__xludf.DUMMYFUNCTION("""COMPUTED_VALUE"""),"III-2-150")</f>
        <v>III-2-150</v>
      </c>
      <c r="B320" t="str">
        <f ca="1">IFERROR(__xludf.DUMMYFUNCTION("""COMPUTED_VALUE"""),"Екимова")</f>
        <v>Екимова</v>
      </c>
      <c r="C320" t="str">
        <f ca="1">IFERROR(__xludf.DUMMYFUNCTION("""COMPUTED_VALUE"""),"Дарья")</f>
        <v>Дарья</v>
      </c>
      <c r="D320" t="str">
        <f ca="1">IFERROR(__xludf.DUMMYFUNCTION("""COMPUTED_VALUE"""),"Школа 1329")</f>
        <v>Школа 1329</v>
      </c>
      <c r="E320" s="5"/>
      <c r="F320" s="5"/>
      <c r="G320" s="5"/>
      <c r="H320" s="5"/>
      <c r="I320" s="5"/>
      <c r="J320" s="5"/>
      <c r="K320" s="5"/>
      <c r="L320" s="5"/>
      <c r="M320">
        <f ca="1">IFERROR(__xludf.DUMMYFUNCTION("""COMPUTED_VALUE"""),0)</f>
        <v>0</v>
      </c>
      <c r="N320" s="8"/>
    </row>
    <row r="321" spans="1:14" ht="12.45" hidden="1">
      <c r="A321" t="str">
        <f ca="1">IFERROR(__xludf.DUMMYFUNCTION("""COMPUTED_VALUE"""),"III-2-161")</f>
        <v>III-2-161</v>
      </c>
      <c r="B321" t="str">
        <f ca="1">IFERROR(__xludf.DUMMYFUNCTION("""COMPUTED_VALUE"""),"Жильцова")</f>
        <v>Жильцова</v>
      </c>
      <c r="C321" t="str">
        <f ca="1">IFERROR(__xludf.DUMMYFUNCTION("""COMPUTED_VALUE"""),"Алиса")</f>
        <v>Алиса</v>
      </c>
      <c r="D321" t="str">
        <f ca="1">IFERROR(__xludf.DUMMYFUNCTION("""COMPUTED_VALUE"""),"Гимназия Гимназия при Русском музее")</f>
        <v>Гимназия Гимназия при Русском музее</v>
      </c>
      <c r="E321" s="5"/>
      <c r="F321" s="5"/>
      <c r="G321" s="5"/>
      <c r="H321" s="5"/>
      <c r="I321" s="5"/>
      <c r="J321" s="5"/>
      <c r="K321" s="5"/>
      <c r="L321" s="5"/>
      <c r="M321">
        <f ca="1">IFERROR(__xludf.DUMMYFUNCTION("""COMPUTED_VALUE"""),0)</f>
        <v>0</v>
      </c>
      <c r="N321" s="8"/>
    </row>
    <row r="322" spans="1:14" ht="12.45" hidden="1">
      <c r="A322" t="str">
        <f ca="1">IFERROR(__xludf.DUMMYFUNCTION("""COMPUTED_VALUE"""),"III-2-163")</f>
        <v>III-2-163</v>
      </c>
      <c r="B322" t="str">
        <f ca="1">IFERROR(__xludf.DUMMYFUNCTION("""COMPUTED_VALUE"""),"Жулин")</f>
        <v>Жулин</v>
      </c>
      <c r="C322" t="str">
        <f ca="1">IFERROR(__xludf.DUMMYFUNCTION("""COMPUTED_VALUE"""),"Павел")</f>
        <v>Павел</v>
      </c>
      <c r="D322" t="str">
        <f ca="1">IFERROR(__xludf.DUMMYFUNCTION("""COMPUTED_VALUE"""),"Школа 354")</f>
        <v>Школа 354</v>
      </c>
      <c r="E322" s="5"/>
      <c r="F322" s="5"/>
      <c r="G322" s="5"/>
      <c r="H322" s="5"/>
      <c r="I322" s="5"/>
      <c r="J322" s="5"/>
      <c r="K322" s="5"/>
      <c r="L322" s="5"/>
      <c r="M322">
        <f ca="1">IFERROR(__xludf.DUMMYFUNCTION("""COMPUTED_VALUE"""),0)</f>
        <v>0</v>
      </c>
      <c r="N322" s="8"/>
    </row>
    <row r="323" spans="1:14" ht="12.45" hidden="1">
      <c r="A323" t="str">
        <f ca="1">IFERROR(__xludf.DUMMYFUNCTION("""COMPUTED_VALUE"""),"III-2-236")</f>
        <v>III-2-236</v>
      </c>
      <c r="B323" t="str">
        <f ca="1">IFERROR(__xludf.DUMMYFUNCTION("""COMPUTED_VALUE"""),"Курапов")</f>
        <v>Курапов</v>
      </c>
      <c r="C323" t="str">
        <f ca="1">IFERROR(__xludf.DUMMYFUNCTION("""COMPUTED_VALUE"""),"Илья")</f>
        <v>Илья</v>
      </c>
      <c r="D323" t="str">
        <f ca="1">IFERROR(__xludf.DUMMYFUNCTION("""COMPUTED_VALUE"""),"Школа 611")</f>
        <v>Школа 611</v>
      </c>
      <c r="E323" s="5"/>
      <c r="F323" s="5"/>
      <c r="G323" s="5"/>
      <c r="H323" s="5"/>
      <c r="I323" s="5"/>
      <c r="J323" s="5"/>
      <c r="K323" s="5"/>
      <c r="L323" s="5"/>
      <c r="M323">
        <f ca="1">IFERROR(__xludf.DUMMYFUNCTION("""COMPUTED_VALUE"""),0)</f>
        <v>0</v>
      </c>
      <c r="N323" s="8"/>
    </row>
    <row r="324" spans="1:14" ht="12.45" hidden="1">
      <c r="A324" t="str">
        <f ca="1">IFERROR(__xludf.DUMMYFUNCTION("""COMPUTED_VALUE"""),"III-2-240")</f>
        <v>III-2-240</v>
      </c>
      <c r="B324" t="str">
        <f ca="1">IFERROR(__xludf.DUMMYFUNCTION("""COMPUTED_VALUE"""),"Куцева")</f>
        <v>Куцева</v>
      </c>
      <c r="C324" t="str">
        <f ca="1">IFERROR(__xludf.DUMMYFUNCTION("""COMPUTED_VALUE"""),"Дарья")</f>
        <v>Дарья</v>
      </c>
      <c r="D324" t="str">
        <f ca="1">IFERROR(__xludf.DUMMYFUNCTION("""COMPUTED_VALUE"""),"Школа 340")</f>
        <v>Школа 340</v>
      </c>
      <c r="E324" s="5"/>
      <c r="F324" s="5"/>
      <c r="G324" s="5"/>
      <c r="H324" s="5"/>
      <c r="I324" s="5"/>
      <c r="J324" s="5"/>
      <c r="K324" s="5"/>
      <c r="L324" s="5"/>
      <c r="M324">
        <f ca="1">IFERROR(__xludf.DUMMYFUNCTION("""COMPUTED_VALUE"""),0)</f>
        <v>0</v>
      </c>
      <c r="N324" s="8"/>
    </row>
    <row r="325" spans="1:14" ht="12.45" hidden="1">
      <c r="A325" t="str">
        <f ca="1">IFERROR(__xludf.DUMMYFUNCTION("""COMPUTED_VALUE"""),"V-2-260")</f>
        <v>V-2-260</v>
      </c>
      <c r="B325" t="str">
        <f ca="1">IFERROR(__xludf.DUMMYFUNCTION("""COMPUTED_VALUE"""),"Лукьянов")</f>
        <v>Лукьянов</v>
      </c>
      <c r="C325" t="str">
        <f ca="1">IFERROR(__xludf.DUMMYFUNCTION("""COMPUTED_VALUE"""),"Леонид")</f>
        <v>Леонид</v>
      </c>
      <c r="D325" t="str">
        <f ca="1">IFERROR(__xludf.DUMMYFUNCTION("""COMPUTED_VALUE"""),"Школа 341")</f>
        <v>Школа 341</v>
      </c>
      <c r="E325" s="5"/>
      <c r="F325" s="5"/>
      <c r="G325" s="5"/>
      <c r="H325" s="5"/>
      <c r="I325" s="5"/>
      <c r="J325" s="5"/>
      <c r="K325" s="5"/>
      <c r="L325" s="5"/>
      <c r="M325">
        <f ca="1">IFERROR(__xludf.DUMMYFUNCTION("""COMPUTED_VALUE"""),0)</f>
        <v>0</v>
      </c>
      <c r="N325" s="8"/>
    </row>
    <row r="326" spans="1:14" ht="12.45" hidden="1">
      <c r="A326" t="str">
        <f ca="1">IFERROR(__xludf.DUMMYFUNCTION("""COMPUTED_VALUE"""),"V-2-265")</f>
        <v>V-2-265</v>
      </c>
      <c r="B326" t="str">
        <f ca="1">IFERROR(__xludf.DUMMYFUNCTION("""COMPUTED_VALUE"""),"Макаров")</f>
        <v>Макаров</v>
      </c>
      <c r="C326" t="str">
        <f ca="1">IFERROR(__xludf.DUMMYFUNCTION("""COMPUTED_VALUE"""),"Павел")</f>
        <v>Павел</v>
      </c>
      <c r="D326" t="str">
        <f ca="1">IFERROR(__xludf.DUMMYFUNCTION("""COMPUTED_VALUE"""),"Гимназия 2")</f>
        <v>Гимназия 2</v>
      </c>
      <c r="E326" s="5"/>
      <c r="F326" s="5"/>
      <c r="G326" s="5"/>
      <c r="H326" s="5"/>
      <c r="I326" s="5"/>
      <c r="J326" s="5"/>
      <c r="K326" s="5"/>
      <c r="L326" s="5"/>
      <c r="M326">
        <f ca="1">IFERROR(__xludf.DUMMYFUNCTION("""COMPUTED_VALUE"""),0)</f>
        <v>0</v>
      </c>
      <c r="N326" s="8"/>
    </row>
    <row r="327" spans="1:14" ht="12.45" hidden="1">
      <c r="A327" t="str">
        <f ca="1">IFERROR(__xludf.DUMMYFUNCTION("""COMPUTED_VALUE"""),"V-2-319")</f>
        <v>V-2-319</v>
      </c>
      <c r="B327" t="str">
        <f ca="1">IFERROR(__xludf.DUMMYFUNCTION("""COMPUTED_VALUE"""),"Новожилов")</f>
        <v>Новожилов</v>
      </c>
      <c r="C327" t="str">
        <f ca="1">IFERROR(__xludf.DUMMYFUNCTION("""COMPUTED_VALUE"""),"Александр")</f>
        <v>Александр</v>
      </c>
      <c r="D327" t="str">
        <f ca="1">IFERROR(__xludf.DUMMYFUNCTION("""COMPUTED_VALUE"""),"Гимназия 513")</f>
        <v>Гимназия 513</v>
      </c>
      <c r="E327" s="5"/>
      <c r="F327" s="5"/>
      <c r="G327" s="5"/>
      <c r="H327" s="5"/>
      <c r="I327" s="5"/>
      <c r="J327" s="5"/>
      <c r="K327" s="5"/>
      <c r="L327" s="5"/>
      <c r="M327">
        <f ca="1">IFERROR(__xludf.DUMMYFUNCTION("""COMPUTED_VALUE"""),0)</f>
        <v>0</v>
      </c>
      <c r="N327" s="8"/>
    </row>
    <row r="328" spans="1:14" ht="12.45" hidden="1">
      <c r="A328" t="str">
        <f ca="1">IFERROR(__xludf.DUMMYFUNCTION("""COMPUTED_VALUE"""),"V-2-411")</f>
        <v>V-2-411</v>
      </c>
      <c r="B328" t="str">
        <f ca="1">IFERROR(__xludf.DUMMYFUNCTION("""COMPUTED_VALUE"""),"Столярова")</f>
        <v>Столярова</v>
      </c>
      <c r="C328" t="str">
        <f ca="1">IFERROR(__xludf.DUMMYFUNCTION("""COMPUTED_VALUE"""),"Кира")</f>
        <v>Кира</v>
      </c>
      <c r="D328" t="str">
        <f ca="1">IFERROR(__xludf.DUMMYFUNCTION("""COMPUTED_VALUE"""),"Лицей 366")</f>
        <v>Лицей 366</v>
      </c>
      <c r="E328" s="5"/>
      <c r="F328" s="5"/>
      <c r="G328" s="5"/>
      <c r="H328" s="5"/>
      <c r="I328" s="5"/>
      <c r="J328" s="5"/>
      <c r="K328" s="5"/>
      <c r="L328" s="5"/>
      <c r="M328">
        <f ca="1">IFERROR(__xludf.DUMMYFUNCTION("""COMPUTED_VALUE"""),0)</f>
        <v>0</v>
      </c>
      <c r="N328" s="8"/>
    </row>
    <row r="329" spans="1:14" ht="12.45" hidden="1">
      <c r="A329" t="str">
        <f ca="1">IFERROR(__xludf.DUMMYFUNCTION("""COMPUTED_VALUE"""),"V-2-443")</f>
        <v>V-2-443</v>
      </c>
      <c r="B329" t="str">
        <f ca="1">IFERROR(__xludf.DUMMYFUNCTION("""COMPUTED_VALUE"""),"Фирсова")</f>
        <v>Фирсова</v>
      </c>
      <c r="C329" t="str">
        <f ca="1">IFERROR(__xludf.DUMMYFUNCTION("""COMPUTED_VALUE"""),"Влада")</f>
        <v>Влада</v>
      </c>
      <c r="D329" t="str">
        <f ca="1">IFERROR(__xludf.DUMMYFUNCTION("""COMPUTED_VALUE"""),"Гимназия 157")</f>
        <v>Гимназия 157</v>
      </c>
      <c r="E329" s="5"/>
      <c r="F329" s="5"/>
      <c r="G329" s="5"/>
      <c r="H329" s="5"/>
      <c r="I329" s="5"/>
      <c r="J329" s="5"/>
      <c r="K329" s="5"/>
      <c r="L329" s="5"/>
      <c r="M329">
        <f ca="1">IFERROR(__xludf.DUMMYFUNCTION("""COMPUTED_VALUE"""),0)</f>
        <v>0</v>
      </c>
      <c r="N329" s="8"/>
    </row>
    <row r="330" spans="1:14" ht="12.45" hidden="1">
      <c r="A330" t="str">
        <f ca="1">IFERROR(__xludf.DUMMYFUNCTION("""COMPUTED_VALUE"""),"V-2-453")</f>
        <v>V-2-453</v>
      </c>
      <c r="B330" t="str">
        <f ca="1">IFERROR(__xludf.DUMMYFUNCTION("""COMPUTED_VALUE"""),"Худяков")</f>
        <v>Худяков</v>
      </c>
      <c r="C330" t="str">
        <f ca="1">IFERROR(__xludf.DUMMYFUNCTION("""COMPUTED_VALUE"""),"Даниил")</f>
        <v>Даниил</v>
      </c>
      <c r="D330" t="str">
        <f ca="1">IFERROR(__xludf.DUMMYFUNCTION("""COMPUTED_VALUE"""),"Гимназия 406")</f>
        <v>Гимназия 406</v>
      </c>
      <c r="E330" s="5"/>
      <c r="F330" s="5"/>
      <c r="G330" s="5"/>
      <c r="H330" s="5"/>
      <c r="I330" s="5"/>
      <c r="J330" s="5"/>
      <c r="K330" s="5"/>
      <c r="L330" s="5"/>
      <c r="M330">
        <f ca="1">IFERROR(__xludf.DUMMYFUNCTION("""COMPUTED_VALUE"""),0)</f>
        <v>0</v>
      </c>
      <c r="N330" s="8"/>
    </row>
    <row r="331" spans="1:14" ht="12.45" hidden="1">
      <c r="A331" t="str">
        <f ca="1">IFERROR(__xludf.DUMMYFUNCTION("""COMPUTED_VALUE"""),"V-2-347")</f>
        <v>V-2-347</v>
      </c>
      <c r="B331" t="str">
        <f ca="1">IFERROR(__xludf.DUMMYFUNCTION("""COMPUTED_VALUE"""),"Потанин")</f>
        <v>Потанин</v>
      </c>
      <c r="C331" t="str">
        <f ca="1">IFERROR(__xludf.DUMMYFUNCTION("""COMPUTED_VALUE"""),"Рашид")</f>
        <v>Рашид</v>
      </c>
      <c r="D331" t="str">
        <f ca="1">IFERROR(__xludf.DUMMYFUNCTION("""COMPUTED_VALUE"""),"Школа 4 Кусто")</f>
        <v>Школа 4 Кусто</v>
      </c>
      <c r="E331" s="5"/>
      <c r="F331" s="5"/>
      <c r="G331" s="5"/>
      <c r="H331" s="5"/>
      <c r="I331" s="5"/>
      <c r="J331" s="5"/>
      <c r="K331" s="5"/>
      <c r="L331" s="5"/>
      <c r="M331">
        <f ca="1">IFERROR(__xludf.DUMMYFUNCTION("""COMPUTED_VALUE"""),0)</f>
        <v>0</v>
      </c>
      <c r="N331" s="8"/>
    </row>
    <row r="332" spans="1:14" ht="12.45" hidden="1">
      <c r="A332" t="str">
        <f ca="1">IFERROR(__xludf.DUMMYFUNCTION("""COMPUTED_VALUE"""),"V-2-380")</f>
        <v>V-2-380</v>
      </c>
      <c r="B332" t="str">
        <f ca="1">IFERROR(__xludf.DUMMYFUNCTION("""COMPUTED_VALUE"""),"Сенкевич")</f>
        <v>Сенкевич</v>
      </c>
      <c r="C332" t="str">
        <f ca="1">IFERROR(__xludf.DUMMYFUNCTION("""COMPUTED_VALUE"""),"Мария")</f>
        <v>Мария</v>
      </c>
      <c r="D332" t="str">
        <f ca="1">IFERROR(__xludf.DUMMYFUNCTION("""COMPUTED_VALUE"""),"Школа 347")</f>
        <v>Школа 347</v>
      </c>
      <c r="E332" s="5"/>
      <c r="F332" s="5"/>
      <c r="G332" s="5"/>
      <c r="H332" s="5"/>
      <c r="I332" s="5"/>
      <c r="J332" s="5"/>
      <c r="K332" s="5"/>
      <c r="L332" s="5"/>
      <c r="M332">
        <f ca="1">IFERROR(__xludf.DUMMYFUNCTION("""COMPUTED_VALUE"""),0)</f>
        <v>0</v>
      </c>
      <c r="N332" s="8"/>
    </row>
    <row r="333" spans="1:14" ht="12.45" hidden="1">
      <c r="A333" t="str">
        <f ca="1">IFERROR(__xludf.DUMMYFUNCTION("""COMPUTED_VALUE"""),"III-2-168")</f>
        <v>III-2-168</v>
      </c>
      <c r="B333" t="str">
        <f ca="1">IFERROR(__xludf.DUMMYFUNCTION("""COMPUTED_VALUE"""),"Занабадаров")</f>
        <v>Занабадаров</v>
      </c>
      <c r="C333" t="str">
        <f ca="1">IFERROR(__xludf.DUMMYFUNCTION("""COMPUTED_VALUE"""),"Донир")</f>
        <v>Донир</v>
      </c>
      <c r="D333" t="str">
        <f ca="1">IFERROR(__xludf.DUMMYFUNCTION("""COMPUTED_VALUE"""),"Школа 1")</f>
        <v>Школа 1</v>
      </c>
      <c r="E333" s="5"/>
      <c r="F333" s="5"/>
      <c r="G333" s="5"/>
      <c r="H333" s="5"/>
      <c r="I333" s="5"/>
      <c r="J333" s="5"/>
      <c r="K333" s="5"/>
      <c r="L333" s="5"/>
      <c r="M333">
        <f ca="1">IFERROR(__xludf.DUMMYFUNCTION("""COMPUTED_VALUE"""),0)</f>
        <v>0</v>
      </c>
      <c r="N333" s="8"/>
    </row>
    <row r="334" spans="1:14" ht="12.45" hidden="1">
      <c r="A334" t="str">
        <f ca="1">IFERROR(__xludf.DUMMYFUNCTION("""COMPUTED_VALUE"""),"III-2-058")</f>
        <v>III-2-058</v>
      </c>
      <c r="B334" t="str">
        <f ca="1">IFERROR(__xludf.DUMMYFUNCTION("""COMPUTED_VALUE"""),"Бондарь")</f>
        <v>Бондарь</v>
      </c>
      <c r="C334" t="str">
        <f ca="1">IFERROR(__xludf.DUMMYFUNCTION("""COMPUTED_VALUE"""),"Иван")</f>
        <v>Иван</v>
      </c>
      <c r="D334" t="str">
        <f ca="1">IFERROR(__xludf.DUMMYFUNCTION("""COMPUTED_VALUE"""),"Школа 39")</f>
        <v>Школа 39</v>
      </c>
      <c r="E334" s="5"/>
      <c r="F334" s="5"/>
      <c r="G334" s="5"/>
      <c r="H334" s="5"/>
      <c r="I334" s="5"/>
      <c r="J334" s="5"/>
      <c r="K334" s="5"/>
      <c r="L334" s="5"/>
      <c r="M334">
        <f ca="1">IFERROR(__xludf.DUMMYFUNCTION("""COMPUTED_VALUE"""),0)</f>
        <v>0</v>
      </c>
      <c r="N334" s="8"/>
    </row>
    <row r="335" spans="1:14" ht="12.45" hidden="1">
      <c r="A335" t="str">
        <f ca="1">IFERROR(__xludf.DUMMYFUNCTION("""COMPUTED_VALUE"""),"III-2-091")</f>
        <v>III-2-091</v>
      </c>
      <c r="B335" t="str">
        <f ca="1">IFERROR(__xludf.DUMMYFUNCTION("""COMPUTED_VALUE"""),"Гаспарова")</f>
        <v>Гаспарова</v>
      </c>
      <c r="C335" t="str">
        <f ca="1">IFERROR(__xludf.DUMMYFUNCTION("""COMPUTED_VALUE"""),"Ольга")</f>
        <v>Ольга</v>
      </c>
      <c r="D335" t="str">
        <f ca="1">IFERROR(__xludf.DUMMYFUNCTION("""COMPUTED_VALUE"""),"Школа 39")</f>
        <v>Школа 39</v>
      </c>
      <c r="E335" s="5"/>
      <c r="F335" s="5"/>
      <c r="G335" s="5"/>
      <c r="H335" s="5"/>
      <c r="I335" s="5"/>
      <c r="J335" s="5"/>
      <c r="K335" s="5"/>
      <c r="L335" s="5"/>
      <c r="M335">
        <f ca="1">IFERROR(__xludf.DUMMYFUNCTION("""COMPUTED_VALUE"""),0)</f>
        <v>0</v>
      </c>
      <c r="N335" s="8"/>
    </row>
    <row r="336" spans="1:14" ht="12.45" hidden="1">
      <c r="A336" t="str">
        <f ca="1">IFERROR(__xludf.DUMMYFUNCTION("""COMPUTED_VALUE"""),"V-2-329")</f>
        <v>V-2-329</v>
      </c>
      <c r="B336" t="str">
        <f ca="1">IFERROR(__xludf.DUMMYFUNCTION("""COMPUTED_VALUE"""),"Пак")</f>
        <v>Пак</v>
      </c>
      <c r="C336" t="str">
        <f ca="1">IFERROR(__xludf.DUMMYFUNCTION("""COMPUTED_VALUE"""),"Глеб")</f>
        <v>Глеб</v>
      </c>
      <c r="D336" t="str">
        <f ca="1">IFERROR(__xludf.DUMMYFUNCTION("""COMPUTED_VALUE"""),"Школа 39")</f>
        <v>Школа 39</v>
      </c>
      <c r="E336" s="5"/>
      <c r="F336" s="5"/>
      <c r="G336" s="5"/>
      <c r="H336" s="5"/>
      <c r="I336" s="5"/>
      <c r="J336" s="5"/>
      <c r="K336" s="5"/>
      <c r="L336" s="5"/>
      <c r="M336">
        <f ca="1">IFERROR(__xludf.DUMMYFUNCTION("""COMPUTED_VALUE"""),0)</f>
        <v>0</v>
      </c>
      <c r="N336" s="8"/>
    </row>
    <row r="337" spans="1:14" ht="12.45" hidden="1">
      <c r="A337" t="str">
        <f ca="1">IFERROR(__xludf.DUMMYFUNCTION("""COMPUTED_VALUE"""),"III-2-067")</f>
        <v>III-2-067</v>
      </c>
      <c r="B337" t="str">
        <f ca="1">IFERROR(__xludf.DUMMYFUNCTION("""COMPUTED_VALUE"""),"Бут-Гусаим")</f>
        <v>Бут-Гусаим</v>
      </c>
      <c r="C337" t="str">
        <f ca="1">IFERROR(__xludf.DUMMYFUNCTION("""COMPUTED_VALUE"""),"София")</f>
        <v>София</v>
      </c>
      <c r="D337" t="str">
        <f ca="1">IFERROR(__xludf.DUMMYFUNCTION("""COMPUTED_VALUE"""),"Школа 39")</f>
        <v>Школа 39</v>
      </c>
      <c r="E337" s="5"/>
      <c r="F337" s="5"/>
      <c r="G337" s="5"/>
      <c r="H337" s="5"/>
      <c r="I337" s="5"/>
      <c r="J337" s="5"/>
      <c r="K337" s="5"/>
      <c r="L337" s="5"/>
      <c r="M337">
        <f ca="1">IFERROR(__xludf.DUMMYFUNCTION("""COMPUTED_VALUE"""),0)</f>
        <v>0</v>
      </c>
      <c r="N337" s="8"/>
    </row>
    <row r="338" spans="1:14" ht="12.45" hidden="1">
      <c r="A338" t="str">
        <f ca="1">IFERROR(__xludf.DUMMYFUNCTION("""COMPUTED_VALUE"""),"V-2-276")</f>
        <v>V-2-276</v>
      </c>
      <c r="B338" t="str">
        <f ca="1">IFERROR(__xludf.DUMMYFUNCTION("""COMPUTED_VALUE"""),"Маргарян")</f>
        <v>Маргарян</v>
      </c>
      <c r="C338" t="str">
        <f ca="1">IFERROR(__xludf.DUMMYFUNCTION("""COMPUTED_VALUE"""),"Айк")</f>
        <v>Айк</v>
      </c>
      <c r="D338" t="str">
        <f ca="1">IFERROR(__xludf.DUMMYFUNCTION("""COMPUTED_VALUE"""),"Школа 39")</f>
        <v>Школа 39</v>
      </c>
      <c r="E338" s="5"/>
      <c r="F338" s="5"/>
      <c r="G338" s="5"/>
      <c r="H338" s="5"/>
      <c r="I338" s="5"/>
      <c r="J338" s="5"/>
      <c r="K338" s="5"/>
      <c r="L338" s="5"/>
      <c r="M338">
        <f ca="1">IFERROR(__xludf.DUMMYFUNCTION("""COMPUTED_VALUE"""),0)</f>
        <v>0</v>
      </c>
      <c r="N338" s="8"/>
    </row>
    <row r="339" spans="1:14" ht="12.45" hidden="1">
      <c r="A339" t="str">
        <f ca="1">IFERROR(__xludf.DUMMYFUNCTION("""COMPUTED_VALUE"""),"V-2-479")</f>
        <v>V-2-479</v>
      </c>
      <c r="B339" t="str">
        <f ca="1">IFERROR(__xludf.DUMMYFUNCTION("""COMPUTED_VALUE"""),"Якубов")</f>
        <v>Якубов</v>
      </c>
      <c r="C339" t="str">
        <f ca="1">IFERROR(__xludf.DUMMYFUNCTION("""COMPUTED_VALUE"""),"Тимур")</f>
        <v>Тимур</v>
      </c>
      <c r="D339" t="str">
        <f ca="1">IFERROR(__xludf.DUMMYFUNCTION("""COMPUTED_VALUE"""),"Школа 39")</f>
        <v>Школа 39</v>
      </c>
      <c r="E339" s="5"/>
      <c r="F339" s="5"/>
      <c r="G339" s="5"/>
      <c r="H339" s="5"/>
      <c r="I339" s="5"/>
      <c r="J339" s="5"/>
      <c r="K339" s="5"/>
      <c r="L339" s="5"/>
      <c r="M339">
        <f ca="1">IFERROR(__xludf.DUMMYFUNCTION("""COMPUTED_VALUE"""),0)</f>
        <v>0</v>
      </c>
      <c r="N339" s="8"/>
    </row>
    <row r="340" spans="1:14" ht="12.45" hidden="1">
      <c r="A340" t="str">
        <f ca="1">IFERROR(__xludf.DUMMYFUNCTION("""COMPUTED_VALUE"""),"V-2-460")</f>
        <v>V-2-460</v>
      </c>
      <c r="B340" t="str">
        <f ca="1">IFERROR(__xludf.DUMMYFUNCTION("""COMPUTED_VALUE"""),"Чухно")</f>
        <v>Чухно</v>
      </c>
      <c r="C340" t="str">
        <f ca="1">IFERROR(__xludf.DUMMYFUNCTION("""COMPUTED_VALUE"""),"Нина")</f>
        <v>Нина</v>
      </c>
      <c r="D340" t="str">
        <f ca="1">IFERROR(__xludf.DUMMYFUNCTION("""COMPUTED_VALUE"""),"Школа 39")</f>
        <v>Школа 39</v>
      </c>
      <c r="E340" s="5"/>
      <c r="F340" s="5"/>
      <c r="G340" s="5"/>
      <c r="H340" s="5"/>
      <c r="I340" s="5"/>
      <c r="J340" s="5"/>
      <c r="K340" s="5"/>
      <c r="L340" s="5"/>
      <c r="M340">
        <f ca="1">IFERROR(__xludf.DUMMYFUNCTION("""COMPUTED_VALUE"""),0)</f>
        <v>0</v>
      </c>
      <c r="N340" s="8"/>
    </row>
    <row r="341" spans="1:14" ht="12.45" hidden="1">
      <c r="A341" t="str">
        <f ca="1">IFERROR(__xludf.DUMMYFUNCTION("""COMPUTED_VALUE"""),"III-2-157")</f>
        <v>III-2-157</v>
      </c>
      <c r="B341" t="str">
        <f ca="1">IFERROR(__xludf.DUMMYFUNCTION("""COMPUTED_VALUE"""),"Желобкович")</f>
        <v>Желобкович</v>
      </c>
      <c r="C341" t="str">
        <f ca="1">IFERROR(__xludf.DUMMYFUNCTION("""COMPUTED_VALUE"""),"Павел")</f>
        <v>Павел</v>
      </c>
      <c r="D341" t="str">
        <f ca="1">IFERROR(__xludf.DUMMYFUNCTION("""COMPUTED_VALUE"""),"Школа Квадривиум")</f>
        <v>Школа Квадривиум</v>
      </c>
      <c r="E341" s="5"/>
      <c r="F341" s="5"/>
      <c r="G341" s="5"/>
      <c r="H341" s="5"/>
      <c r="I341" s="5"/>
      <c r="J341" s="5"/>
      <c r="K341" s="5"/>
      <c r="L341" s="5"/>
      <c r="M341">
        <f ca="1">IFERROR(__xludf.DUMMYFUNCTION("""COMPUTED_VALUE"""),0)</f>
        <v>0</v>
      </c>
      <c r="N341" s="8"/>
    </row>
    <row r="342" spans="1:14" ht="12.45" hidden="1">
      <c r="A342" t="str">
        <f ca="1">IFERROR(__xludf.DUMMYFUNCTION("""COMPUTED_VALUE"""),"III-2-115")</f>
        <v>III-2-115</v>
      </c>
      <c r="B342" t="str">
        <f ca="1">IFERROR(__xludf.DUMMYFUNCTION("""COMPUTED_VALUE"""),"Грингмут")</f>
        <v>Грингмут</v>
      </c>
      <c r="C342" t="str">
        <f ca="1">IFERROR(__xludf.DUMMYFUNCTION("""COMPUTED_VALUE"""),"Софья")</f>
        <v>Софья</v>
      </c>
      <c r="D342" t="str">
        <f ca="1">IFERROR(__xludf.DUMMYFUNCTION("""COMPUTED_VALUE"""),"Школа 71")</f>
        <v>Школа 71</v>
      </c>
      <c r="E342" s="5"/>
      <c r="F342" s="5"/>
      <c r="G342" s="5"/>
      <c r="H342" s="5"/>
      <c r="I342" s="5"/>
      <c r="J342" s="5"/>
      <c r="K342" s="5"/>
      <c r="L342" s="5"/>
      <c r="M342">
        <f ca="1">IFERROR(__xludf.DUMMYFUNCTION("""COMPUTED_VALUE"""),0)</f>
        <v>0</v>
      </c>
      <c r="N342" s="8"/>
    </row>
    <row r="343" spans="1:14" ht="12.45" hidden="1">
      <c r="A343" t="str">
        <f ca="1">IFERROR(__xludf.DUMMYFUNCTION("""COMPUTED_VALUE"""),"III-2-141")</f>
        <v>III-2-141</v>
      </c>
      <c r="B343" t="str">
        <f ca="1">IFERROR(__xludf.DUMMYFUNCTION("""COMPUTED_VALUE"""),"Дубовицкий")</f>
        <v>Дубовицкий</v>
      </c>
      <c r="C343" t="str">
        <f ca="1">IFERROR(__xludf.DUMMYFUNCTION("""COMPUTED_VALUE"""),"Егор")</f>
        <v>Егор</v>
      </c>
      <c r="D343" t="str">
        <f ca="1">IFERROR(__xludf.DUMMYFUNCTION("""COMPUTED_VALUE"""),"Школа 581 с углубленным изучением технологии")</f>
        <v>Школа 581 с углубленным изучением технологии</v>
      </c>
      <c r="E343" s="5"/>
      <c r="F343" s="5"/>
      <c r="G343" s="5"/>
      <c r="H343" s="5"/>
      <c r="I343" s="5"/>
      <c r="J343" s="5"/>
      <c r="K343" s="5"/>
      <c r="L343" s="5"/>
      <c r="M343">
        <f ca="1">IFERROR(__xludf.DUMMYFUNCTION("""COMPUTED_VALUE"""),0)</f>
        <v>0</v>
      </c>
      <c r="N343" s="8"/>
    </row>
    <row r="344" spans="1:14" ht="12.45" hidden="1">
      <c r="A344" t="str">
        <f ca="1">IFERROR(__xludf.DUMMYFUNCTION("""COMPUTED_VALUE"""),"V-2-255")</f>
        <v>V-2-255</v>
      </c>
      <c r="B344" t="str">
        <f ca="1">IFERROR(__xludf.DUMMYFUNCTION("""COMPUTED_VALUE"""),"Лобовиков")</f>
        <v>Лобовиков</v>
      </c>
      <c r="C344" t="str">
        <f ca="1">IFERROR(__xludf.DUMMYFUNCTION("""COMPUTED_VALUE"""),"Антон")</f>
        <v>Антон</v>
      </c>
      <c r="D344" t="str">
        <f ca="1">IFERROR(__xludf.DUMMYFUNCTION("""COMPUTED_VALUE"""),"Школа 1")</f>
        <v>Школа 1</v>
      </c>
      <c r="E344" s="5"/>
      <c r="F344" s="5"/>
      <c r="G344" s="5"/>
      <c r="H344" s="5"/>
      <c r="I344" s="5"/>
      <c r="J344" s="5"/>
      <c r="K344" s="5"/>
      <c r="L344" s="5"/>
      <c r="M344">
        <f ca="1">IFERROR(__xludf.DUMMYFUNCTION("""COMPUTED_VALUE"""),0)</f>
        <v>0</v>
      </c>
      <c r="N344" s="8"/>
    </row>
    <row r="345" spans="1:14" ht="12.45" hidden="1">
      <c r="A345" t="str">
        <f ca="1">IFERROR(__xludf.DUMMYFUNCTION("""COMPUTED_VALUE"""),"V-2-368")</f>
        <v>V-2-368</v>
      </c>
      <c r="B345" t="str">
        <f ca="1">IFERROR(__xludf.DUMMYFUNCTION("""COMPUTED_VALUE"""),"Садилкина")</f>
        <v>Садилкина</v>
      </c>
      <c r="C345" t="str">
        <f ca="1">IFERROR(__xludf.DUMMYFUNCTION("""COMPUTED_VALUE"""),"Елизавета")</f>
        <v>Елизавета</v>
      </c>
      <c r="D345" t="str">
        <f ca="1">IFERROR(__xludf.DUMMYFUNCTION("""COMPUTED_VALUE"""),"Школа 489")</f>
        <v>Школа 489</v>
      </c>
      <c r="E345" s="5"/>
      <c r="F345" s="5"/>
      <c r="G345" s="5"/>
      <c r="H345" s="5"/>
      <c r="I345" s="5"/>
      <c r="J345" s="5"/>
      <c r="K345" s="5"/>
      <c r="L345" s="5"/>
      <c r="M345">
        <f ca="1">IFERROR(__xludf.DUMMYFUNCTION("""COMPUTED_VALUE"""),0)</f>
        <v>0</v>
      </c>
      <c r="N345" s="8"/>
    </row>
    <row r="346" spans="1:14" ht="12.45" hidden="1">
      <c r="A346" t="str">
        <f ca="1">IFERROR(__xludf.DUMMYFUNCTION("""COMPUTED_VALUE"""),"V-2-406")</f>
        <v>V-2-406</v>
      </c>
      <c r="B346" t="str">
        <f ca="1">IFERROR(__xludf.DUMMYFUNCTION("""COMPUTED_VALUE"""),"Сорокин")</f>
        <v>Сорокин</v>
      </c>
      <c r="C346" t="str">
        <f ca="1">IFERROR(__xludf.DUMMYFUNCTION("""COMPUTED_VALUE"""),"Ярослав")</f>
        <v>Ярослав</v>
      </c>
      <c r="D346" t="str">
        <f ca="1">IFERROR(__xludf.DUMMYFUNCTION("""COMPUTED_VALUE"""),"Школа ЦО Кудрово")</f>
        <v>Школа ЦО Кудрово</v>
      </c>
      <c r="E346" s="5"/>
      <c r="F346" s="5"/>
      <c r="G346" s="5"/>
      <c r="H346" s="5"/>
      <c r="I346" s="5"/>
      <c r="J346" s="5"/>
      <c r="K346" s="5"/>
      <c r="L346" s="5"/>
      <c r="M346">
        <f ca="1">IFERROR(__xludf.DUMMYFUNCTION("""COMPUTED_VALUE"""),0)</f>
        <v>0</v>
      </c>
      <c r="N346" s="8"/>
    </row>
    <row r="347" spans="1:14" ht="12.45" hidden="1">
      <c r="A347" t="str">
        <f ca="1">IFERROR(__xludf.DUMMYFUNCTION("""COMPUTED_VALUE"""),"V-2-295")</f>
        <v>V-2-295</v>
      </c>
      <c r="B347" t="str">
        <f ca="1">IFERROR(__xludf.DUMMYFUNCTION("""COMPUTED_VALUE"""),"Морошкин")</f>
        <v>Морошкин</v>
      </c>
      <c r="C347" t="str">
        <f ca="1">IFERROR(__xludf.DUMMYFUNCTION("""COMPUTED_VALUE"""),"Борис")</f>
        <v>Борис</v>
      </c>
      <c r="D347" t="str">
        <f ca="1">IFERROR(__xludf.DUMMYFUNCTION("""COMPUTED_VALUE"""),"Школа 407")</f>
        <v>Школа 407</v>
      </c>
      <c r="E347" s="5"/>
      <c r="F347" s="5"/>
      <c r="G347" s="5"/>
      <c r="H347" s="5"/>
      <c r="I347" s="5"/>
      <c r="J347" s="5"/>
      <c r="K347" s="5"/>
      <c r="L347" s="5"/>
      <c r="M347">
        <f ca="1">IFERROR(__xludf.DUMMYFUNCTION("""COMPUTED_VALUE"""),0)</f>
        <v>0</v>
      </c>
      <c r="N347" s="8"/>
    </row>
    <row r="348" spans="1:14" ht="12.45" hidden="1">
      <c r="A348" t="str">
        <f ca="1">IFERROR(__xludf.DUMMYFUNCTION("""COMPUTED_VALUE"""),"V-2-370")</f>
        <v>V-2-370</v>
      </c>
      <c r="B348" t="str">
        <f ca="1">IFERROR(__xludf.DUMMYFUNCTION("""COMPUTED_VALUE"""),"Садыкова")</f>
        <v>Садыкова</v>
      </c>
      <c r="C348" t="str">
        <f ca="1">IFERROR(__xludf.DUMMYFUNCTION("""COMPUTED_VALUE"""),"Эльвира")</f>
        <v>Эльвира</v>
      </c>
      <c r="D348" t="str">
        <f ca="1">IFERROR(__xludf.DUMMYFUNCTION("""COMPUTED_VALUE"""),"Школа 407")</f>
        <v>Школа 407</v>
      </c>
      <c r="E348" s="5"/>
      <c r="F348" s="5"/>
      <c r="G348" s="5"/>
      <c r="H348" s="5"/>
      <c r="I348" s="5"/>
      <c r="J348" s="5"/>
      <c r="K348" s="5"/>
      <c r="L348" s="5"/>
      <c r="M348">
        <f ca="1">IFERROR(__xludf.DUMMYFUNCTION("""COMPUTED_VALUE"""),0)</f>
        <v>0</v>
      </c>
      <c r="N348" s="8"/>
    </row>
    <row r="349" spans="1:14" ht="12.45" hidden="1">
      <c r="A349" t="str">
        <f ca="1">IFERROR(__xludf.DUMMYFUNCTION("""COMPUTED_VALUE"""),"III-2-008")</f>
        <v>III-2-008</v>
      </c>
      <c r="B349" t="str">
        <f ca="1">IFERROR(__xludf.DUMMYFUNCTION("""COMPUTED_VALUE"""),"Александров")</f>
        <v>Александров</v>
      </c>
      <c r="C349" t="str">
        <f ca="1">IFERROR(__xludf.DUMMYFUNCTION("""COMPUTED_VALUE"""),"Егор")</f>
        <v>Егор</v>
      </c>
      <c r="D349" t="str">
        <f ca="1">IFERROR(__xludf.DUMMYFUNCTION("""COMPUTED_VALUE"""),"Школа 407")</f>
        <v>Школа 407</v>
      </c>
      <c r="E349" s="5"/>
      <c r="F349" s="5"/>
      <c r="G349" s="5"/>
      <c r="H349" s="5"/>
      <c r="I349" s="5"/>
      <c r="J349" s="5"/>
      <c r="K349" s="5"/>
      <c r="L349" s="5"/>
      <c r="M349">
        <f ca="1">IFERROR(__xludf.DUMMYFUNCTION("""COMPUTED_VALUE"""),0)</f>
        <v>0</v>
      </c>
      <c r="N349" s="8"/>
    </row>
    <row r="350" spans="1:14" ht="12.45" hidden="1">
      <c r="A350" t="str">
        <f ca="1">IFERROR(__xludf.DUMMYFUNCTION("""COMPUTED_VALUE"""),"V-2-297")</f>
        <v>V-2-297</v>
      </c>
      <c r="B350" t="str">
        <f ca="1">IFERROR(__xludf.DUMMYFUNCTION("""COMPUTED_VALUE"""),"Мочалова")</f>
        <v>Мочалова</v>
      </c>
      <c r="C350" t="str">
        <f ca="1">IFERROR(__xludf.DUMMYFUNCTION("""COMPUTED_VALUE"""),"Александра")</f>
        <v>Александра</v>
      </c>
      <c r="D350" t="str">
        <f ca="1">IFERROR(__xludf.DUMMYFUNCTION("""COMPUTED_VALUE"""),"Школа 407")</f>
        <v>Школа 407</v>
      </c>
      <c r="E350" s="5"/>
      <c r="F350" s="5"/>
      <c r="G350" s="5"/>
      <c r="H350" s="5"/>
      <c r="I350" s="5"/>
      <c r="J350" s="5"/>
      <c r="K350" s="5"/>
      <c r="L350" s="5"/>
      <c r="M350">
        <f ca="1">IFERROR(__xludf.DUMMYFUNCTION("""COMPUTED_VALUE"""),0)</f>
        <v>0</v>
      </c>
      <c r="N350" s="8"/>
    </row>
    <row r="351" spans="1:14" ht="12.45" hidden="1">
      <c r="A351" t="str">
        <f ca="1">IFERROR(__xludf.DUMMYFUNCTION("""COMPUTED_VALUE"""),"V-2-361")</f>
        <v>V-2-361</v>
      </c>
      <c r="B351" t="str">
        <f ca="1">IFERROR(__xludf.DUMMYFUNCTION("""COMPUTED_VALUE"""),"Рудевич")</f>
        <v>Рудевич</v>
      </c>
      <c r="C351" t="str">
        <f ca="1">IFERROR(__xludf.DUMMYFUNCTION("""COMPUTED_VALUE"""),"Тимофей")</f>
        <v>Тимофей</v>
      </c>
      <c r="D351" t="str">
        <f ca="1">IFERROR(__xludf.DUMMYFUNCTION("""COMPUTED_VALUE"""),"Школа 407")</f>
        <v>Школа 407</v>
      </c>
      <c r="E351" s="5"/>
      <c r="F351" s="5"/>
      <c r="G351" s="5"/>
      <c r="H351" s="5"/>
      <c r="I351" s="5"/>
      <c r="J351" s="5"/>
      <c r="K351" s="5"/>
      <c r="L351" s="5"/>
      <c r="M351">
        <f ca="1">IFERROR(__xludf.DUMMYFUNCTION("""COMPUTED_VALUE"""),0)</f>
        <v>0</v>
      </c>
      <c r="N351" s="8"/>
    </row>
    <row r="352" spans="1:14" ht="12.45" hidden="1">
      <c r="A352" t="str">
        <f ca="1">IFERROR(__xludf.DUMMYFUNCTION("""COMPUTED_VALUE"""),"III-2-040")</f>
        <v>III-2-040</v>
      </c>
      <c r="B352" t="str">
        <f ca="1">IFERROR(__xludf.DUMMYFUNCTION("""COMPUTED_VALUE"""),"Баркова")</f>
        <v>Баркова</v>
      </c>
      <c r="C352" t="str">
        <f ca="1">IFERROR(__xludf.DUMMYFUNCTION("""COMPUTED_VALUE"""),"Дарья")</f>
        <v>Дарья</v>
      </c>
      <c r="D352" t="str">
        <f ca="1">IFERROR(__xludf.DUMMYFUNCTION("""COMPUTED_VALUE"""),"Школа 407")</f>
        <v>Школа 407</v>
      </c>
      <c r="E352" s="5"/>
      <c r="F352" s="5"/>
      <c r="G352" s="5"/>
      <c r="H352" s="5"/>
      <c r="I352" s="5"/>
      <c r="J352" s="5"/>
      <c r="K352" s="5"/>
      <c r="L352" s="5"/>
      <c r="M352">
        <f ca="1">IFERROR(__xludf.DUMMYFUNCTION("""COMPUTED_VALUE"""),0)</f>
        <v>0</v>
      </c>
      <c r="N352" s="8"/>
    </row>
    <row r="353" spans="1:14" ht="12.45" hidden="1">
      <c r="A353" t="str">
        <f ca="1">IFERROR(__xludf.DUMMYFUNCTION("""COMPUTED_VALUE"""),"III-2-055")</f>
        <v>III-2-055</v>
      </c>
      <c r="B353" t="str">
        <f ca="1">IFERROR(__xludf.DUMMYFUNCTION("""COMPUTED_VALUE"""),"Бодко")</f>
        <v>Бодко</v>
      </c>
      <c r="C353" t="str">
        <f ca="1">IFERROR(__xludf.DUMMYFUNCTION("""COMPUTED_VALUE"""),"София")</f>
        <v>София</v>
      </c>
      <c r="D353" t="str">
        <f ca="1">IFERROR(__xludf.DUMMYFUNCTION("""COMPUTED_VALUE"""),"Школа 407")</f>
        <v>Школа 407</v>
      </c>
      <c r="E353" s="5"/>
      <c r="F353" s="5"/>
      <c r="G353" s="5"/>
      <c r="H353" s="5"/>
      <c r="I353" s="5"/>
      <c r="J353" s="5"/>
      <c r="K353" s="5"/>
      <c r="L353" s="5"/>
      <c r="M353">
        <f ca="1">IFERROR(__xludf.DUMMYFUNCTION("""COMPUTED_VALUE"""),0)</f>
        <v>0</v>
      </c>
      <c r="N353" s="8"/>
    </row>
    <row r="354" spans="1:14" ht="12.45" hidden="1">
      <c r="A354" t="str">
        <f ca="1">IFERROR(__xludf.DUMMYFUNCTION("""COMPUTED_VALUE"""),"V-2-311")</f>
        <v>V-2-311</v>
      </c>
      <c r="B354" t="str">
        <f ca="1">IFERROR(__xludf.DUMMYFUNCTION("""COMPUTED_VALUE"""),"Никандров")</f>
        <v>Никандров</v>
      </c>
      <c r="C354" t="str">
        <f ca="1">IFERROR(__xludf.DUMMYFUNCTION("""COMPUTED_VALUE"""),"Владислав")</f>
        <v>Владислав</v>
      </c>
      <c r="D354" t="str">
        <f ca="1">IFERROR(__xludf.DUMMYFUNCTION("""COMPUTED_VALUE"""),"Гимназия 343")</f>
        <v>Гимназия 343</v>
      </c>
      <c r="E354" s="5"/>
      <c r="F354" s="5"/>
      <c r="G354" s="5"/>
      <c r="H354" s="5"/>
      <c r="I354" s="5"/>
      <c r="J354" s="5"/>
      <c r="K354" s="5"/>
      <c r="L354" s="5"/>
      <c r="M354">
        <f ca="1">IFERROR(__xludf.DUMMYFUNCTION("""COMPUTED_VALUE"""),0)</f>
        <v>0</v>
      </c>
      <c r="N354" s="8"/>
    </row>
    <row r="355" spans="1:14" ht="12.45" hidden="1">
      <c r="A355" t="str">
        <f ca="1">IFERROR(__xludf.DUMMYFUNCTION("""COMPUTED_VALUE"""),"III-2-109")</f>
        <v>III-2-109</v>
      </c>
      <c r="B355" t="str">
        <f ca="1">IFERROR(__xludf.DUMMYFUNCTION("""COMPUTED_VALUE"""),"Грецкая")</f>
        <v>Грецкая</v>
      </c>
      <c r="C355" t="str">
        <f ca="1">IFERROR(__xludf.DUMMYFUNCTION("""COMPUTED_VALUE"""),"Валерия")</f>
        <v>Валерия</v>
      </c>
      <c r="D355" t="str">
        <f ca="1">IFERROR(__xludf.DUMMYFUNCTION("""COMPUTED_VALUE"""),"Гимназия 642")</f>
        <v>Гимназия 642</v>
      </c>
      <c r="E355" s="5"/>
      <c r="F355" s="5"/>
      <c r="G355" s="5"/>
      <c r="H355" s="5"/>
      <c r="I355" s="5"/>
      <c r="J355" s="5"/>
      <c r="K355" s="5"/>
      <c r="L355" s="5"/>
      <c r="M355">
        <f ca="1">IFERROR(__xludf.DUMMYFUNCTION("""COMPUTED_VALUE"""),0)</f>
        <v>0</v>
      </c>
      <c r="N355" s="8"/>
    </row>
    <row r="356" spans="1:14" ht="12.45" hidden="1">
      <c r="A356" t="str">
        <f ca="1">IFERROR(__xludf.DUMMYFUNCTION("""COMPUTED_VALUE"""),"V-2-273")</f>
        <v>V-2-273</v>
      </c>
      <c r="B356" t="str">
        <f ca="1">IFERROR(__xludf.DUMMYFUNCTION("""COMPUTED_VALUE"""),"Мамаев")</f>
        <v>Мамаев</v>
      </c>
      <c r="C356" t="str">
        <f ca="1">IFERROR(__xludf.DUMMYFUNCTION("""COMPUTED_VALUE"""),"Егор")</f>
        <v>Егор</v>
      </c>
      <c r="D356" t="str">
        <f ca="1">IFERROR(__xludf.DUMMYFUNCTION("""COMPUTED_VALUE"""),"Гимназия 586")</f>
        <v>Гимназия 586</v>
      </c>
      <c r="E356" s="5"/>
      <c r="F356" s="5"/>
      <c r="G356" s="5"/>
      <c r="H356" s="5"/>
      <c r="I356" s="5"/>
      <c r="J356" s="5"/>
      <c r="K356" s="5"/>
      <c r="L356" s="5"/>
      <c r="M356">
        <f ca="1">IFERROR(__xludf.DUMMYFUNCTION("""COMPUTED_VALUE"""),0)</f>
        <v>0</v>
      </c>
      <c r="N356" s="8"/>
    </row>
    <row r="357" spans="1:14" ht="12.45" hidden="1">
      <c r="A357" t="str">
        <f ca="1">IFERROR(__xludf.DUMMYFUNCTION("""COMPUTED_VALUE"""),"V-2-345")</f>
        <v>V-2-345</v>
      </c>
      <c r="B357" t="str">
        <f ca="1">IFERROR(__xludf.DUMMYFUNCTION("""COMPUTED_VALUE"""),"Попкова")</f>
        <v>Попкова</v>
      </c>
      <c r="C357" t="str">
        <f ca="1">IFERROR(__xludf.DUMMYFUNCTION("""COMPUTED_VALUE"""),"Анна")</f>
        <v>Анна</v>
      </c>
      <c r="D357" t="str">
        <f ca="1">IFERROR(__xludf.DUMMYFUNCTION("""COMPUTED_VALUE"""),"Лицей 9")</f>
        <v>Лицей 9</v>
      </c>
      <c r="E357" s="5"/>
      <c r="F357" s="5"/>
      <c r="G357" s="5"/>
      <c r="H357" s="5"/>
      <c r="I357" s="5"/>
      <c r="J357" s="5"/>
      <c r="K357" s="5"/>
      <c r="L357" s="5"/>
      <c r="M357">
        <f ca="1">IFERROR(__xludf.DUMMYFUNCTION("""COMPUTED_VALUE"""),0)</f>
        <v>0</v>
      </c>
      <c r="N357" s="8"/>
    </row>
    <row r="358" spans="1:14" ht="12.45" hidden="1">
      <c r="A358" t="str">
        <f ca="1">IFERROR(__xludf.DUMMYFUNCTION("""COMPUTED_VALUE"""),"V-2-292")</f>
        <v>V-2-292</v>
      </c>
      <c r="B358" t="str">
        <f ca="1">IFERROR(__xludf.DUMMYFUNCTION("""COMPUTED_VALUE"""),"Моргавчук")</f>
        <v>Моргавчук</v>
      </c>
      <c r="C358" t="str">
        <f ca="1">IFERROR(__xludf.DUMMYFUNCTION("""COMPUTED_VALUE"""),"Арина")</f>
        <v>Арина</v>
      </c>
      <c r="D358" t="str">
        <f ca="1">IFERROR(__xludf.DUMMYFUNCTION("""COMPUTED_VALUE"""),"Школа 655")</f>
        <v>Школа 655</v>
      </c>
      <c r="E358" s="5"/>
      <c r="F358" s="5"/>
      <c r="G358" s="5"/>
      <c r="H358" s="5"/>
      <c r="I358" s="5"/>
      <c r="J358" s="5"/>
      <c r="K358" s="5"/>
      <c r="L358" s="5"/>
      <c r="M358">
        <f ca="1">IFERROR(__xludf.DUMMYFUNCTION("""COMPUTED_VALUE"""),0)</f>
        <v>0</v>
      </c>
      <c r="N358" s="8"/>
    </row>
    <row r="359" spans="1:14" ht="12.45" hidden="1">
      <c r="A359" t="str">
        <f ca="1">IFERROR(__xludf.DUMMYFUNCTION("""COMPUTED_VALUE"""),"V-2-390")</f>
        <v>V-2-390</v>
      </c>
      <c r="B359" t="str">
        <f ca="1">IFERROR(__xludf.DUMMYFUNCTION("""COMPUTED_VALUE"""),"Симбирев")</f>
        <v>Симбирев</v>
      </c>
      <c r="C359" t="str">
        <f ca="1">IFERROR(__xludf.DUMMYFUNCTION("""COMPUTED_VALUE"""),"Михаил")</f>
        <v>Михаил</v>
      </c>
      <c r="D359" t="str">
        <f ca="1">IFERROR(__xludf.DUMMYFUNCTION("""COMPUTED_VALUE"""),"Школа 2")</f>
        <v>Школа 2</v>
      </c>
      <c r="E359" s="5"/>
      <c r="F359" s="5"/>
      <c r="G359" s="5"/>
      <c r="H359" s="5"/>
      <c r="I359" s="5"/>
      <c r="J359" s="5"/>
      <c r="K359" s="5"/>
      <c r="L359" s="5"/>
      <c r="M359">
        <f ca="1">IFERROR(__xludf.DUMMYFUNCTION("""COMPUTED_VALUE"""),0)</f>
        <v>0</v>
      </c>
      <c r="N359" s="8"/>
    </row>
    <row r="360" spans="1:14" ht="12.45" hidden="1">
      <c r="A360" t="str">
        <f ca="1">IFERROR(__xludf.DUMMYFUNCTION("""COMPUTED_VALUE"""),"III-2-221")</f>
        <v>III-2-221</v>
      </c>
      <c r="B360" t="str">
        <f ca="1">IFERROR(__xludf.DUMMYFUNCTION("""COMPUTED_VALUE"""),"Коробцов")</f>
        <v>Коробцов</v>
      </c>
      <c r="C360" t="str">
        <f ca="1">IFERROR(__xludf.DUMMYFUNCTION("""COMPUTED_VALUE"""),"Лев")</f>
        <v>Лев</v>
      </c>
      <c r="D360" t="str">
        <f ca="1">IFERROR(__xludf.DUMMYFUNCTION("""COMPUTED_VALUE"""),"Гимназия 622")</f>
        <v>Гимназия 622</v>
      </c>
      <c r="E360" s="5"/>
      <c r="F360" s="5"/>
      <c r="G360" s="5"/>
      <c r="H360" s="5"/>
      <c r="I360" s="5"/>
      <c r="J360" s="5"/>
      <c r="K360" s="5"/>
      <c r="L360" s="5"/>
      <c r="M360">
        <f ca="1">IFERROR(__xludf.DUMMYFUNCTION("""COMPUTED_VALUE"""),0)</f>
        <v>0</v>
      </c>
      <c r="N360" s="8"/>
    </row>
    <row r="361" spans="1:14" ht="12.45" hidden="1">
      <c r="A361" t="str">
        <f ca="1">IFERROR(__xludf.DUMMYFUNCTION("""COMPUTED_VALUE"""),"III-2-145")</f>
        <v>III-2-145</v>
      </c>
      <c r="B361" t="str">
        <f ca="1">IFERROR(__xludf.DUMMYFUNCTION("""COMPUTED_VALUE"""),"Дюковский")</f>
        <v>Дюковский</v>
      </c>
      <c r="C361" t="str">
        <f ca="1">IFERROR(__xludf.DUMMYFUNCTION("""COMPUTED_VALUE"""),"Максим")</f>
        <v>Максим</v>
      </c>
      <c r="D361" t="str">
        <f ca="1">IFERROR(__xludf.DUMMYFUNCTION("""COMPUTED_VALUE"""),"Школа 468")</f>
        <v>Школа 468</v>
      </c>
      <c r="E361" s="5"/>
      <c r="F361" s="5"/>
      <c r="G361" s="5"/>
      <c r="H361" s="5"/>
      <c r="I361" s="5"/>
      <c r="J361" s="5"/>
      <c r="K361" s="5"/>
      <c r="L361" s="5"/>
      <c r="M361">
        <f ca="1">IFERROR(__xludf.DUMMYFUNCTION("""COMPUTED_VALUE"""),0)</f>
        <v>0</v>
      </c>
      <c r="N361" s="8"/>
    </row>
    <row r="362" spans="1:14" ht="12.45" hidden="1">
      <c r="A362" t="str">
        <f ca="1">IFERROR(__xludf.DUMMYFUNCTION("""COMPUTED_VALUE"""),"III-2-092")</f>
        <v>III-2-092</v>
      </c>
      <c r="B362" t="str">
        <f ca="1">IFERROR(__xludf.DUMMYFUNCTION("""COMPUTED_VALUE"""),"Герман")</f>
        <v>Герман</v>
      </c>
      <c r="C362" t="str">
        <f ca="1">IFERROR(__xludf.DUMMYFUNCTION("""COMPUTED_VALUE"""),"Аделина")</f>
        <v>Аделина</v>
      </c>
      <c r="D362" t="str">
        <f ca="1">IFERROR(__xludf.DUMMYFUNCTION("""COMPUTED_VALUE"""),"Гимназия 363")</f>
        <v>Гимназия 363</v>
      </c>
      <c r="E362" s="5"/>
      <c r="F362" s="5"/>
      <c r="G362" s="5"/>
      <c r="H362" s="5"/>
      <c r="I362" s="5"/>
      <c r="J362" s="5"/>
      <c r="K362" s="5"/>
      <c r="L362" s="5"/>
      <c r="M362">
        <f ca="1">IFERROR(__xludf.DUMMYFUNCTION("""COMPUTED_VALUE"""),0)</f>
        <v>0</v>
      </c>
      <c r="N362" s="8"/>
    </row>
    <row r="363" spans="1:14" ht="12.45" hidden="1">
      <c r="A363" t="str">
        <f ca="1">IFERROR(__xludf.DUMMYFUNCTION("""COMPUTED_VALUE"""),"III-2-210")</f>
        <v>III-2-210</v>
      </c>
      <c r="B363" t="str">
        <f ca="1">IFERROR(__xludf.DUMMYFUNCTION("""COMPUTED_VALUE"""),"Ковальчук")</f>
        <v>Ковальчук</v>
      </c>
      <c r="C363" t="str">
        <f ca="1">IFERROR(__xludf.DUMMYFUNCTION("""COMPUTED_VALUE"""),"Мария")</f>
        <v>Мария</v>
      </c>
      <c r="D363" t="str">
        <f ca="1">IFERROR(__xludf.DUMMYFUNCTION("""COMPUTED_VALUE"""),"Гимназия 363")</f>
        <v>Гимназия 363</v>
      </c>
      <c r="E363" s="5"/>
      <c r="F363" s="5"/>
      <c r="G363" s="5"/>
      <c r="H363" s="5"/>
      <c r="I363" s="5"/>
      <c r="J363" s="5"/>
      <c r="K363" s="5"/>
      <c r="L363" s="5"/>
      <c r="M363">
        <f ca="1">IFERROR(__xludf.DUMMYFUNCTION("""COMPUTED_VALUE"""),0)</f>
        <v>0</v>
      </c>
      <c r="N363" s="8"/>
    </row>
    <row r="364" spans="1:14" ht="12.45" hidden="1">
      <c r="A364" t="str">
        <f ca="1">IFERROR(__xludf.DUMMYFUNCTION("""COMPUTED_VALUE"""),"V-2-458")</f>
        <v>V-2-458</v>
      </c>
      <c r="B364" t="str">
        <f ca="1">IFERROR(__xludf.DUMMYFUNCTION("""COMPUTED_VALUE"""),"Черных")</f>
        <v>Черных</v>
      </c>
      <c r="C364" t="str">
        <f ca="1">IFERROR(__xludf.DUMMYFUNCTION("""COMPUTED_VALUE"""),"Александра")</f>
        <v>Александра</v>
      </c>
      <c r="D364" t="str">
        <f ca="1">IFERROR(__xludf.DUMMYFUNCTION("""COMPUTED_VALUE"""),"Гимназия 363")</f>
        <v>Гимназия 363</v>
      </c>
      <c r="E364" s="5"/>
      <c r="F364" s="5"/>
      <c r="G364" s="5"/>
      <c r="H364" s="5"/>
      <c r="I364" s="5"/>
      <c r="J364" s="5"/>
      <c r="K364" s="5"/>
      <c r="L364" s="5"/>
      <c r="M364">
        <f ca="1">IFERROR(__xludf.DUMMYFUNCTION("""COMPUTED_VALUE"""),0)</f>
        <v>0</v>
      </c>
      <c r="N364" s="8"/>
    </row>
    <row r="365" spans="1:14" ht="12.45" hidden="1">
      <c r="A365" t="str">
        <f ca="1">IFERROR(__xludf.DUMMYFUNCTION("""COMPUTED_VALUE"""),"V-2-272")</f>
        <v>V-2-272</v>
      </c>
      <c r="B365" t="str">
        <f ca="1">IFERROR(__xludf.DUMMYFUNCTION("""COMPUTED_VALUE"""),"Маляренко")</f>
        <v>Маляренко</v>
      </c>
      <c r="C365" t="str">
        <f ca="1">IFERROR(__xludf.DUMMYFUNCTION("""COMPUTED_VALUE"""),"Кристина")</f>
        <v>Кристина</v>
      </c>
      <c r="D365" t="str">
        <f ca="1">IFERROR(__xludf.DUMMYFUNCTION("""COMPUTED_VALUE"""),"Гимназия 363")</f>
        <v>Гимназия 363</v>
      </c>
      <c r="E365" s="5"/>
      <c r="F365" s="5"/>
      <c r="G365" s="5"/>
      <c r="H365" s="5"/>
      <c r="I365" s="5"/>
      <c r="J365" s="5"/>
      <c r="K365" s="5"/>
      <c r="L365" s="5"/>
      <c r="M365">
        <f ca="1">IFERROR(__xludf.DUMMYFUNCTION("""COMPUTED_VALUE"""),0)</f>
        <v>0</v>
      </c>
      <c r="N365" s="8"/>
    </row>
    <row r="366" spans="1:14" ht="12.45" hidden="1">
      <c r="A366" t="str">
        <f ca="1">IFERROR(__xludf.DUMMYFUNCTION("""COMPUTED_VALUE"""),"III-2-062")</f>
        <v>III-2-062</v>
      </c>
      <c r="B366" t="str">
        <f ca="1">IFERROR(__xludf.DUMMYFUNCTION("""COMPUTED_VALUE"""),"Буданова")</f>
        <v>Буданова</v>
      </c>
      <c r="C366" t="str">
        <f ca="1">IFERROR(__xludf.DUMMYFUNCTION("""COMPUTED_VALUE"""),"Алиса")</f>
        <v>Алиса</v>
      </c>
      <c r="D366" t="str">
        <f ca="1">IFERROR(__xludf.DUMMYFUNCTION("""COMPUTED_VALUE"""),"Гимназия 363")</f>
        <v>Гимназия 363</v>
      </c>
      <c r="E366" s="5"/>
      <c r="F366" s="5"/>
      <c r="G366" s="5"/>
      <c r="H366" s="5"/>
      <c r="I366" s="5"/>
      <c r="J366" s="5"/>
      <c r="K366" s="5"/>
      <c r="L366" s="5"/>
      <c r="M366">
        <f ca="1">IFERROR(__xludf.DUMMYFUNCTION("""COMPUTED_VALUE"""),0)</f>
        <v>0</v>
      </c>
      <c r="N366" s="8"/>
    </row>
    <row r="367" spans="1:14" ht="12.45" hidden="1">
      <c r="A367" t="str">
        <f ca="1">IFERROR(__xludf.DUMMYFUNCTION("""COMPUTED_VALUE"""),"V-2-312")</f>
        <v>V-2-312</v>
      </c>
      <c r="B367" t="str">
        <f ca="1">IFERROR(__xludf.DUMMYFUNCTION("""COMPUTED_VALUE"""),"Никитин")</f>
        <v>Никитин</v>
      </c>
      <c r="C367" t="str">
        <f ca="1">IFERROR(__xludf.DUMMYFUNCTION("""COMPUTED_VALUE"""),"Герман")</f>
        <v>Герман</v>
      </c>
      <c r="D367" t="str">
        <f ca="1">IFERROR(__xludf.DUMMYFUNCTION("""COMPUTED_VALUE"""),"Гимназия 363")</f>
        <v>Гимназия 363</v>
      </c>
      <c r="E367" s="5"/>
      <c r="F367" s="5"/>
      <c r="G367" s="5"/>
      <c r="H367" s="5"/>
      <c r="I367" s="5"/>
      <c r="J367" s="5"/>
      <c r="K367" s="5"/>
      <c r="L367" s="5"/>
      <c r="M367">
        <f ca="1">IFERROR(__xludf.DUMMYFUNCTION("""COMPUTED_VALUE"""),0)</f>
        <v>0</v>
      </c>
      <c r="N367" s="8"/>
    </row>
    <row r="368" spans="1:14" ht="12.45" hidden="1">
      <c r="A368" t="str">
        <f ca="1">IFERROR(__xludf.DUMMYFUNCTION("""COMPUTED_VALUE"""),"III-2-202")</f>
        <v>III-2-202</v>
      </c>
      <c r="B368" t="str">
        <f ca="1">IFERROR(__xludf.DUMMYFUNCTION("""COMPUTED_VALUE"""),"Килинкаров")</f>
        <v>Килинкаров</v>
      </c>
      <c r="C368" t="str">
        <f ca="1">IFERROR(__xludf.DUMMYFUNCTION("""COMPUTED_VALUE"""),"Михаил")</f>
        <v>Михаил</v>
      </c>
      <c r="D368" t="str">
        <f ca="1">IFERROR(__xludf.DUMMYFUNCTION("""COMPUTED_VALUE"""),"Гимназия 24 им. И.А. Крылова")</f>
        <v>Гимназия 24 им. И.А. Крылова</v>
      </c>
      <c r="E368" s="5"/>
      <c r="F368" s="5"/>
      <c r="G368" s="5"/>
      <c r="H368" s="5"/>
      <c r="I368" s="5"/>
      <c r="J368" s="5"/>
      <c r="K368" s="5"/>
      <c r="L368" s="5"/>
      <c r="M368">
        <f ca="1">IFERROR(__xludf.DUMMYFUNCTION("""COMPUTED_VALUE"""),0)</f>
        <v>0</v>
      </c>
      <c r="N368" s="8"/>
    </row>
    <row r="369" spans="1:14" ht="12.45" hidden="1">
      <c r="A369" t="str">
        <f ca="1">IFERROR(__xludf.DUMMYFUNCTION("""COMPUTED_VALUE"""),"V-2-402")</f>
        <v>V-2-402</v>
      </c>
      <c r="B369" t="str">
        <f ca="1">IFERROR(__xludf.DUMMYFUNCTION("""COMPUTED_VALUE"""),"Соболев")</f>
        <v>Соболев</v>
      </c>
      <c r="C369" t="str">
        <f ca="1">IFERROR(__xludf.DUMMYFUNCTION("""COMPUTED_VALUE"""),"Павел")</f>
        <v>Павел</v>
      </c>
      <c r="D369" t="str">
        <f ca="1">IFERROR(__xludf.DUMMYFUNCTION("""COMPUTED_VALUE"""),"Школа МБОУ ОСШ 3")</f>
        <v>Школа МБОУ ОСШ 3</v>
      </c>
      <c r="E369" s="5"/>
      <c r="F369" s="5"/>
      <c r="G369" s="5"/>
      <c r="H369" s="5"/>
      <c r="I369" s="5"/>
      <c r="J369" s="5"/>
      <c r="K369" s="5"/>
      <c r="L369" s="5"/>
      <c r="M369">
        <f ca="1">IFERROR(__xludf.DUMMYFUNCTION("""COMPUTED_VALUE"""),0)</f>
        <v>0</v>
      </c>
      <c r="N369" s="8"/>
    </row>
    <row r="370" spans="1:14" ht="12.45" hidden="1">
      <c r="A370" t="str">
        <f ca="1">IFERROR(__xludf.DUMMYFUNCTION("""COMPUTED_VALUE"""),"V-2-403")</f>
        <v>V-2-403</v>
      </c>
      <c r="B370" t="str">
        <f ca="1">IFERROR(__xludf.DUMMYFUNCTION("""COMPUTED_VALUE"""),"Соболева")</f>
        <v>Соболева</v>
      </c>
      <c r="C370" t="str">
        <f ca="1">IFERROR(__xludf.DUMMYFUNCTION("""COMPUTED_VALUE"""),"Серафима")</f>
        <v>Серафима</v>
      </c>
      <c r="D370" t="str">
        <f ca="1">IFERROR(__xludf.DUMMYFUNCTION("""COMPUTED_VALUE"""),"Школа МБОУ ОСШ 3")</f>
        <v>Школа МБОУ ОСШ 3</v>
      </c>
      <c r="E370" s="5"/>
      <c r="F370" s="5"/>
      <c r="G370" s="5"/>
      <c r="H370" s="5"/>
      <c r="I370" s="5"/>
      <c r="J370" s="5"/>
      <c r="K370" s="5"/>
      <c r="L370" s="5"/>
      <c r="M370">
        <f ca="1">IFERROR(__xludf.DUMMYFUNCTION("""COMPUTED_VALUE"""),0)</f>
        <v>0</v>
      </c>
      <c r="N370" s="8"/>
    </row>
    <row r="371" spans="1:14" ht="12.45">
      <c r="A371" t="str">
        <f ca="1">IFERROR(__xludf.DUMMYFUNCTION("""COMPUTED_VALUE"""),"V-2-339")</f>
        <v>V-2-339</v>
      </c>
      <c r="B371" t="str">
        <f ca="1">IFERROR(__xludf.DUMMYFUNCTION("""COMPUTED_VALUE"""),"Полозов")</f>
        <v>Полозов</v>
      </c>
      <c r="C371" t="str">
        <f ca="1">IFERROR(__xludf.DUMMYFUNCTION("""COMPUTED_VALUE"""),"Андрей")</f>
        <v>Андрей</v>
      </c>
      <c r="D371" t="str">
        <f ca="1">IFERROR(__xludf.DUMMYFUNCTION("""COMPUTED_VALUE"""),"Школа 3")</f>
        <v>Школа 3</v>
      </c>
      <c r="E371" s="5"/>
      <c r="F371" s="5"/>
      <c r="G371" s="5"/>
      <c r="H371" s="5"/>
      <c r="I371" s="5"/>
      <c r="J371" s="5"/>
      <c r="K371" s="5"/>
      <c r="L371" s="5"/>
      <c r="M371">
        <f ca="1">IFERROR(__xludf.DUMMYFUNCTION("""COMPUTED_VALUE"""),0)</f>
        <v>0</v>
      </c>
      <c r="N371" s="8"/>
    </row>
    <row r="372" spans="1:14" ht="12.45" hidden="1">
      <c r="A372" t="str">
        <f ca="1">IFERROR(__xludf.DUMMYFUNCTION("""COMPUTED_VALUE"""),"V-2-293")</f>
        <v>V-2-293</v>
      </c>
      <c r="B372" t="str">
        <f ca="1">IFERROR(__xludf.DUMMYFUNCTION("""COMPUTED_VALUE"""),"Мордовина")</f>
        <v>Мордовина</v>
      </c>
      <c r="C372" t="str">
        <f ca="1">IFERROR(__xludf.DUMMYFUNCTION("""COMPUTED_VALUE"""),"Дарья")</f>
        <v>Дарья</v>
      </c>
      <c r="D372" t="str">
        <f ca="1">IFERROR(__xludf.DUMMYFUNCTION("""COMPUTED_VALUE"""),"Лицей 273")</f>
        <v>Лицей 273</v>
      </c>
      <c r="E372" s="5"/>
      <c r="F372" s="5"/>
      <c r="G372" s="5"/>
      <c r="H372" s="5"/>
      <c r="I372" s="5"/>
      <c r="J372" s="5"/>
      <c r="K372" s="5"/>
      <c r="L372" s="5"/>
      <c r="M372">
        <f ca="1">IFERROR(__xludf.DUMMYFUNCTION("""COMPUTED_VALUE"""),0)</f>
        <v>0</v>
      </c>
      <c r="N372" s="8"/>
    </row>
    <row r="373" spans="1:14" ht="12.45" hidden="1">
      <c r="A373" t="str">
        <f ca="1">IFERROR(__xludf.DUMMYFUNCTION("""COMPUTED_VALUE"""),"V-2-278")</f>
        <v>V-2-278</v>
      </c>
      <c r="B373" t="str">
        <f ca="1">IFERROR(__xludf.DUMMYFUNCTION("""COMPUTED_VALUE"""),"Мархотко")</f>
        <v>Мархотко</v>
      </c>
      <c r="C373" t="str">
        <f ca="1">IFERROR(__xludf.DUMMYFUNCTION("""COMPUTED_VALUE"""),"Кирилл")</f>
        <v>Кирилл</v>
      </c>
      <c r="D373" t="str">
        <f ca="1">IFERROR(__xludf.DUMMYFUNCTION("""COMPUTED_VALUE"""),"Лицей 101")</f>
        <v>Лицей 101</v>
      </c>
      <c r="E373" s="5"/>
      <c r="F373" s="5"/>
      <c r="G373" s="5"/>
      <c r="H373" s="5"/>
      <c r="I373" s="5"/>
      <c r="J373" s="5"/>
      <c r="K373" s="5"/>
      <c r="L373" s="5"/>
      <c r="M373">
        <f ca="1">IFERROR(__xludf.DUMMYFUNCTION("""COMPUTED_VALUE"""),0)</f>
        <v>0</v>
      </c>
      <c r="N373" s="8"/>
    </row>
    <row r="374" spans="1:14" ht="12.45" hidden="1">
      <c r="A374" t="str">
        <f ca="1">IFERROR(__xludf.DUMMYFUNCTION("""COMPUTED_VALUE"""),"V-2-318")</f>
        <v>V-2-318</v>
      </c>
      <c r="B374" t="str">
        <f ca="1">IFERROR(__xludf.DUMMYFUNCTION("""COMPUTED_VALUE"""),"Новоженова")</f>
        <v>Новоженова</v>
      </c>
      <c r="C374" t="str">
        <f ca="1">IFERROR(__xludf.DUMMYFUNCTION("""COMPUTED_VALUE"""),"Елизавета")</f>
        <v>Елизавета</v>
      </c>
      <c r="D374" t="str">
        <f ca="1">IFERROR(__xludf.DUMMYFUNCTION("""COMPUTED_VALUE"""),"Лицей 101")</f>
        <v>Лицей 101</v>
      </c>
      <c r="E374" s="5"/>
      <c r="F374" s="5"/>
      <c r="G374" s="5"/>
      <c r="H374" s="5"/>
      <c r="I374" s="5"/>
      <c r="J374" s="5"/>
      <c r="K374" s="5"/>
      <c r="L374" s="5"/>
      <c r="M374">
        <f ca="1">IFERROR(__xludf.DUMMYFUNCTION("""COMPUTED_VALUE"""),0)</f>
        <v>0</v>
      </c>
      <c r="N374" s="8"/>
    </row>
    <row r="375" spans="1:14" ht="12.45" hidden="1">
      <c r="A375" t="str">
        <f ca="1">IFERROR(__xludf.DUMMYFUNCTION("""COMPUTED_VALUE"""),"III-2-112")</f>
        <v>III-2-112</v>
      </c>
      <c r="B375" t="str">
        <f ca="1">IFERROR(__xludf.DUMMYFUNCTION("""COMPUTED_VALUE"""),"Григорьев")</f>
        <v>Григорьев</v>
      </c>
      <c r="C375" t="str">
        <f ca="1">IFERROR(__xludf.DUMMYFUNCTION("""COMPUTED_VALUE"""),"Артём")</f>
        <v>Артём</v>
      </c>
      <c r="D375" t="str">
        <f ca="1">IFERROR(__xludf.DUMMYFUNCTION("""COMPUTED_VALUE"""),"Лицей 101")</f>
        <v>Лицей 101</v>
      </c>
      <c r="E375" s="5"/>
      <c r="F375" s="5"/>
      <c r="G375" s="5"/>
      <c r="H375" s="5"/>
      <c r="I375" s="5"/>
      <c r="J375" s="5"/>
      <c r="K375" s="5"/>
      <c r="L375" s="5"/>
      <c r="M375">
        <f ca="1">IFERROR(__xludf.DUMMYFUNCTION("""COMPUTED_VALUE"""),0)</f>
        <v>0</v>
      </c>
      <c r="N375" s="8"/>
    </row>
    <row r="376" spans="1:14" ht="12.45" hidden="1">
      <c r="A376" t="str">
        <f ca="1">IFERROR(__xludf.DUMMYFUNCTION("""COMPUTED_VALUE"""),"III-2-144")</f>
        <v>III-2-144</v>
      </c>
      <c r="B376" t="str">
        <f ca="1">IFERROR(__xludf.DUMMYFUNCTION("""COMPUTED_VALUE"""),"Думалкина")</f>
        <v>Думалкина</v>
      </c>
      <c r="C376" t="str">
        <f ca="1">IFERROR(__xludf.DUMMYFUNCTION("""COMPUTED_VALUE"""),"Анастасия")</f>
        <v>Анастасия</v>
      </c>
      <c r="D376" t="str">
        <f ca="1">IFERROR(__xludf.DUMMYFUNCTION("""COMPUTED_VALUE"""),"Лицей 101")</f>
        <v>Лицей 101</v>
      </c>
      <c r="E376" s="5"/>
      <c r="F376" s="5"/>
      <c r="G376" s="5"/>
      <c r="H376" s="5"/>
      <c r="I376" s="5"/>
      <c r="J376" s="5"/>
      <c r="K376" s="5"/>
      <c r="L376" s="5"/>
      <c r="M376">
        <f ca="1">IFERROR(__xludf.DUMMYFUNCTION("""COMPUTED_VALUE"""),0)</f>
        <v>0</v>
      </c>
      <c r="N376" s="8"/>
    </row>
    <row r="377" spans="1:14" ht="12.45" hidden="1">
      <c r="A377" t="str">
        <f ca="1">IFERROR(__xludf.DUMMYFUNCTION("""COMPUTED_VALUE"""),"V-2-423")</f>
        <v>V-2-423</v>
      </c>
      <c r="B377" t="str">
        <f ca="1">IFERROR(__xludf.DUMMYFUNCTION("""COMPUTED_VALUE"""),"Телешова")</f>
        <v>Телешова</v>
      </c>
      <c r="C377" t="str">
        <f ca="1">IFERROR(__xludf.DUMMYFUNCTION("""COMPUTED_VALUE"""),"Олеся")</f>
        <v>Олеся</v>
      </c>
      <c r="D377" t="str">
        <f ca="1">IFERROR(__xludf.DUMMYFUNCTION("""COMPUTED_VALUE"""),"Лицей 101")</f>
        <v>Лицей 101</v>
      </c>
      <c r="E377" s="5"/>
      <c r="F377" s="5"/>
      <c r="G377" s="5"/>
      <c r="H377" s="5"/>
      <c r="I377" s="5"/>
      <c r="J377" s="5"/>
      <c r="K377" s="5"/>
      <c r="L377" s="5"/>
      <c r="M377">
        <f ca="1">IFERROR(__xludf.DUMMYFUNCTION("""COMPUTED_VALUE"""),0)</f>
        <v>0</v>
      </c>
      <c r="N377" s="8"/>
    </row>
    <row r="378" spans="1:14" ht="12.45" hidden="1">
      <c r="A378" t="str">
        <f ca="1">IFERROR(__xludf.DUMMYFUNCTION("""COMPUTED_VALUE"""),"III-2-165")</f>
        <v>III-2-165</v>
      </c>
      <c r="B378" t="str">
        <f ca="1">IFERROR(__xludf.DUMMYFUNCTION("""COMPUTED_VALUE"""),"Заикин")</f>
        <v>Заикин</v>
      </c>
      <c r="C378" t="str">
        <f ca="1">IFERROR(__xludf.DUMMYFUNCTION("""COMPUTED_VALUE"""),"Владислав")</f>
        <v>Владислав</v>
      </c>
      <c r="D378" t="str">
        <f ca="1">IFERROR(__xludf.DUMMYFUNCTION("""COMPUTED_VALUE"""),"Лицей 101")</f>
        <v>Лицей 101</v>
      </c>
      <c r="E378" s="5"/>
      <c r="F378" s="5"/>
      <c r="G378" s="5"/>
      <c r="H378" s="5"/>
      <c r="I378" s="5"/>
      <c r="J378" s="5"/>
      <c r="K378" s="5"/>
      <c r="L378" s="5"/>
      <c r="M378">
        <f ca="1">IFERROR(__xludf.DUMMYFUNCTION("""COMPUTED_VALUE"""),0)</f>
        <v>0</v>
      </c>
      <c r="N378" s="8"/>
    </row>
    <row r="379" spans="1:14" ht="12.45" hidden="1">
      <c r="A379" t="str">
        <f ca="1">IFERROR(__xludf.DUMMYFUNCTION("""COMPUTED_VALUE"""),"III-2-208")</f>
        <v>III-2-208</v>
      </c>
      <c r="B379" t="str">
        <f ca="1">IFERROR(__xludf.DUMMYFUNCTION("""COMPUTED_VALUE"""),"Кобызева")</f>
        <v>Кобызева</v>
      </c>
      <c r="C379" t="str">
        <f ca="1">IFERROR(__xludf.DUMMYFUNCTION("""COMPUTED_VALUE"""),"Мария")</f>
        <v>Мария</v>
      </c>
      <c r="D379" t="str">
        <f ca="1">IFERROR(__xludf.DUMMYFUNCTION("""COMPUTED_VALUE"""),"Лицей 150")</f>
        <v>Лицей 150</v>
      </c>
      <c r="E379" s="5"/>
      <c r="F379" s="5"/>
      <c r="G379" s="5"/>
      <c r="H379" s="5"/>
      <c r="I379" s="5"/>
      <c r="J379" s="5"/>
      <c r="K379" s="5"/>
      <c r="L379" s="5"/>
      <c r="M379">
        <f ca="1">IFERROR(__xludf.DUMMYFUNCTION("""COMPUTED_VALUE"""),0)</f>
        <v>0</v>
      </c>
      <c r="N379" s="8"/>
    </row>
    <row r="380" spans="1:14" ht="12.45" hidden="1">
      <c r="A380" t="str">
        <f ca="1">IFERROR(__xludf.DUMMYFUNCTION("""COMPUTED_VALUE"""),"V-2-324")</f>
        <v>V-2-324</v>
      </c>
      <c r="B380" t="str">
        <f ca="1">IFERROR(__xludf.DUMMYFUNCTION("""COMPUTED_VALUE"""),"Омельченко")</f>
        <v>Омельченко</v>
      </c>
      <c r="C380" t="str">
        <f ca="1">IFERROR(__xludf.DUMMYFUNCTION("""COMPUTED_VALUE"""),"Илья")</f>
        <v>Илья</v>
      </c>
      <c r="D380" t="str">
        <f ca="1">IFERROR(__xludf.DUMMYFUNCTION("""COMPUTED_VALUE"""),"Гимназия 698")</f>
        <v>Гимназия 698</v>
      </c>
      <c r="E380" s="5"/>
      <c r="F380" s="5"/>
      <c r="G380" s="5"/>
      <c r="H380" s="5"/>
      <c r="I380" s="5"/>
      <c r="J380" s="5"/>
      <c r="K380" s="5"/>
      <c r="L380" s="5"/>
      <c r="M380">
        <f ca="1">IFERROR(__xludf.DUMMYFUNCTION("""COMPUTED_VALUE"""),0)</f>
        <v>0</v>
      </c>
      <c r="N380" s="8"/>
    </row>
    <row r="381" spans="1:14" ht="12.45" hidden="1">
      <c r="A381" t="str">
        <f ca="1">IFERROR(__xludf.DUMMYFUNCTION("""COMPUTED_VALUE"""),"V-2-243")</f>
        <v>V-2-243</v>
      </c>
      <c r="B381" t="str">
        <f ca="1">IFERROR(__xludf.DUMMYFUNCTION("""COMPUTED_VALUE"""),"Лавров")</f>
        <v>Лавров</v>
      </c>
      <c r="C381" t="str">
        <f ca="1">IFERROR(__xludf.DUMMYFUNCTION("""COMPUTED_VALUE"""),"Никита")</f>
        <v>Никита</v>
      </c>
      <c r="D381" t="str">
        <f ca="1">IFERROR(__xludf.DUMMYFUNCTION("""COMPUTED_VALUE"""),"Школа 630")</f>
        <v>Школа 630</v>
      </c>
      <c r="E381" s="5"/>
      <c r="F381" s="5"/>
      <c r="G381" s="5"/>
      <c r="H381" s="5"/>
      <c r="I381" s="5"/>
      <c r="J381" s="5"/>
      <c r="K381" s="5"/>
      <c r="L381" s="5"/>
      <c r="M381">
        <f ca="1">IFERROR(__xludf.DUMMYFUNCTION("""COMPUTED_VALUE"""),0)</f>
        <v>0</v>
      </c>
      <c r="N381" s="8"/>
    </row>
    <row r="382" spans="1:14" ht="12.45" hidden="1">
      <c r="A382" t="str">
        <f ca="1">IFERROR(__xludf.DUMMYFUNCTION("""COMPUTED_VALUE"""),"V-2-271")</f>
        <v>V-2-271</v>
      </c>
      <c r="B382" t="str">
        <f ca="1">IFERROR(__xludf.DUMMYFUNCTION("""COMPUTED_VALUE"""),"Малолетнева")</f>
        <v>Малолетнева</v>
      </c>
      <c r="C382" t="str">
        <f ca="1">IFERROR(__xludf.DUMMYFUNCTION("""COMPUTED_VALUE"""),"Милана")</f>
        <v>Милана</v>
      </c>
      <c r="D382" t="str">
        <f ca="1">IFERROR(__xludf.DUMMYFUNCTION("""COMPUTED_VALUE"""),"Школа 630")</f>
        <v>Школа 630</v>
      </c>
      <c r="E382" s="5"/>
      <c r="F382" s="5"/>
      <c r="G382" s="5"/>
      <c r="H382" s="5"/>
      <c r="I382" s="5"/>
      <c r="J382" s="5"/>
      <c r="K382" s="5"/>
      <c r="L382" s="5"/>
      <c r="M382">
        <f ca="1">IFERROR(__xludf.DUMMYFUNCTION("""COMPUTED_VALUE"""),0)</f>
        <v>0</v>
      </c>
      <c r="N382" s="8"/>
    </row>
    <row r="383" spans="1:14" ht="12.45" hidden="1">
      <c r="A383" t="str">
        <f ca="1">IFERROR(__xludf.DUMMYFUNCTION("""COMPUTED_VALUE"""),"III-2-046")</f>
        <v>III-2-046</v>
      </c>
      <c r="B383" t="str">
        <f ca="1">IFERROR(__xludf.DUMMYFUNCTION("""COMPUTED_VALUE"""),"Бернард")</f>
        <v>Бернард</v>
      </c>
      <c r="C383" t="str">
        <f ca="1">IFERROR(__xludf.DUMMYFUNCTION("""COMPUTED_VALUE"""),"Ярослав")</f>
        <v>Ярослав</v>
      </c>
      <c r="D383" t="str">
        <f ca="1">IFERROR(__xludf.DUMMYFUNCTION("""COMPUTED_VALUE"""),"Школа 630")</f>
        <v>Школа 630</v>
      </c>
      <c r="E383" s="5"/>
      <c r="F383" s="5"/>
      <c r="G383" s="5"/>
      <c r="H383" s="5"/>
      <c r="I383" s="5"/>
      <c r="J383" s="5"/>
      <c r="K383" s="5"/>
      <c r="L383" s="5"/>
      <c r="M383">
        <f ca="1">IFERROR(__xludf.DUMMYFUNCTION("""COMPUTED_VALUE"""),0)</f>
        <v>0</v>
      </c>
      <c r="N383" s="8"/>
    </row>
    <row r="384" spans="1:14" ht="12.45" hidden="1">
      <c r="A384" t="str">
        <f ca="1">IFERROR(__xludf.DUMMYFUNCTION("""COMPUTED_VALUE"""),"V-2-281")</f>
        <v>V-2-281</v>
      </c>
      <c r="B384" t="str">
        <f ca="1">IFERROR(__xludf.DUMMYFUNCTION("""COMPUTED_VALUE"""),"Махров")</f>
        <v>Махров</v>
      </c>
      <c r="C384" t="str">
        <f ca="1">IFERROR(__xludf.DUMMYFUNCTION("""COMPUTED_VALUE"""),"Андрей")</f>
        <v>Андрей</v>
      </c>
      <c r="D384" t="str">
        <f ca="1">IFERROR(__xludf.DUMMYFUNCTION("""COMPUTED_VALUE"""),"Школа 257")</f>
        <v>Школа 257</v>
      </c>
      <c r="E384" s="5"/>
      <c r="F384" s="5"/>
      <c r="G384" s="5"/>
      <c r="H384" s="5"/>
      <c r="I384" s="5"/>
      <c r="J384" s="5"/>
      <c r="K384" s="5"/>
      <c r="L384" s="5"/>
      <c r="M384">
        <f ca="1">IFERROR(__xludf.DUMMYFUNCTION("""COMPUTED_VALUE"""),0)</f>
        <v>0</v>
      </c>
      <c r="N384" s="8"/>
    </row>
    <row r="385" spans="1:14" ht="12.45" hidden="1">
      <c r="A385" t="str">
        <f ca="1">IFERROR(__xludf.DUMMYFUNCTION("""COMPUTED_VALUE"""),"III-2-110")</f>
        <v>III-2-110</v>
      </c>
      <c r="B385" t="str">
        <f ca="1">IFERROR(__xludf.DUMMYFUNCTION("""COMPUTED_VALUE"""),"Грибанова")</f>
        <v>Грибанова</v>
      </c>
      <c r="C385" t="str">
        <f ca="1">IFERROR(__xludf.DUMMYFUNCTION("""COMPUTED_VALUE"""),"Полина")</f>
        <v>Полина</v>
      </c>
      <c r="D385" t="str">
        <f ca="1">IFERROR(__xludf.DUMMYFUNCTION("""COMPUTED_VALUE"""),"Школа 257")</f>
        <v>Школа 257</v>
      </c>
      <c r="E385" s="5"/>
      <c r="F385" s="5"/>
      <c r="G385" s="5"/>
      <c r="H385" s="5"/>
      <c r="I385" s="5"/>
      <c r="J385" s="5"/>
      <c r="K385" s="5"/>
      <c r="L385" s="5"/>
      <c r="M385">
        <f ca="1">IFERROR(__xludf.DUMMYFUNCTION("""COMPUTED_VALUE"""),0)</f>
        <v>0</v>
      </c>
      <c r="N385" s="8"/>
    </row>
    <row r="386" spans="1:14" ht="12.45" hidden="1">
      <c r="A386" t="str">
        <f ca="1">IFERROR(__xludf.DUMMYFUNCTION("""COMPUTED_VALUE"""),"V-2-364")</f>
        <v>V-2-364</v>
      </c>
      <c r="B386" t="str">
        <f ca="1">IFERROR(__xludf.DUMMYFUNCTION("""COMPUTED_VALUE"""),"Рымарев")</f>
        <v>Рымарев</v>
      </c>
      <c r="C386" t="str">
        <f ca="1">IFERROR(__xludf.DUMMYFUNCTION("""COMPUTED_VALUE"""),"Михаил")</f>
        <v>Михаил</v>
      </c>
      <c r="D386" t="str">
        <f ca="1">IFERROR(__xludf.DUMMYFUNCTION("""COMPUTED_VALUE"""),"Гимназия 406")</f>
        <v>Гимназия 406</v>
      </c>
      <c r="E386" s="5"/>
      <c r="F386" s="5"/>
      <c r="G386" s="5"/>
      <c r="H386" s="5"/>
      <c r="I386" s="5"/>
      <c r="J386" s="5"/>
      <c r="K386" s="5"/>
      <c r="L386" s="5"/>
      <c r="M386">
        <f ca="1">IFERROR(__xludf.DUMMYFUNCTION("""COMPUTED_VALUE"""),0)</f>
        <v>0</v>
      </c>
      <c r="N386" s="8"/>
    </row>
    <row r="387" spans="1:14" ht="12.45" hidden="1">
      <c r="A387" t="str">
        <f ca="1">IFERROR(__xludf.DUMMYFUNCTION("""COMPUTED_VALUE"""),"III-2-105")</f>
        <v>III-2-105</v>
      </c>
      <c r="B387" t="str">
        <f ca="1">IFERROR(__xludf.DUMMYFUNCTION("""COMPUTED_VALUE"""),"Готоуллин")</f>
        <v>Готоуллин</v>
      </c>
      <c r="C387" t="str">
        <f ca="1">IFERROR(__xludf.DUMMYFUNCTION("""COMPUTED_VALUE"""),"Роман")</f>
        <v>Роман</v>
      </c>
      <c r="D387" t="str">
        <f ca="1">IFERROR(__xludf.DUMMYFUNCTION("""COMPUTED_VALUE"""),"Гимназия 406")</f>
        <v>Гимназия 406</v>
      </c>
      <c r="E387" s="5"/>
      <c r="F387" s="5"/>
      <c r="G387" s="5"/>
      <c r="H387" s="5"/>
      <c r="I387" s="5"/>
      <c r="J387" s="5"/>
      <c r="K387" s="5"/>
      <c r="L387" s="5"/>
      <c r="M387">
        <f ca="1">IFERROR(__xludf.DUMMYFUNCTION("""COMPUTED_VALUE"""),0)</f>
        <v>0</v>
      </c>
      <c r="N387" s="8"/>
    </row>
    <row r="388" spans="1:14" ht="12.45" hidden="1">
      <c r="A388" t="str">
        <f ca="1">IFERROR(__xludf.DUMMYFUNCTION("""COMPUTED_VALUE"""),"III-2-223")</f>
        <v>III-2-223</v>
      </c>
      <c r="B388" t="str">
        <f ca="1">IFERROR(__xludf.DUMMYFUNCTION("""COMPUTED_VALUE"""),"Корсакова")</f>
        <v>Корсакова</v>
      </c>
      <c r="C388" t="str">
        <f ca="1">IFERROR(__xludf.DUMMYFUNCTION("""COMPUTED_VALUE"""),"Дарина")</f>
        <v>Дарина</v>
      </c>
      <c r="D388" t="str">
        <f ca="1">IFERROR(__xludf.DUMMYFUNCTION("""COMPUTED_VALUE"""),"Гимназия 406")</f>
        <v>Гимназия 406</v>
      </c>
      <c r="E388" s="5"/>
      <c r="F388" s="5"/>
      <c r="G388" s="5"/>
      <c r="H388" s="5"/>
      <c r="I388" s="5"/>
      <c r="J388" s="5"/>
      <c r="K388" s="5"/>
      <c r="L388" s="5"/>
      <c r="M388">
        <f ca="1">IFERROR(__xludf.DUMMYFUNCTION("""COMPUTED_VALUE"""),0)</f>
        <v>0</v>
      </c>
      <c r="N388" s="8"/>
    </row>
    <row r="389" spans="1:14" ht="12.45" hidden="1">
      <c r="A389" t="str">
        <f ca="1">IFERROR(__xludf.DUMMYFUNCTION("""COMPUTED_VALUE"""),"III-2-059")</f>
        <v>III-2-059</v>
      </c>
      <c r="B389" t="str">
        <f ca="1">IFERROR(__xludf.DUMMYFUNCTION("""COMPUTED_VALUE"""),"Бородин")</f>
        <v>Бородин</v>
      </c>
      <c r="C389" t="str">
        <f ca="1">IFERROR(__xludf.DUMMYFUNCTION("""COMPUTED_VALUE"""),"Илья")</f>
        <v>Илья</v>
      </c>
      <c r="D389" t="str">
        <f ca="1">IFERROR(__xludf.DUMMYFUNCTION("""COMPUTED_VALUE"""),"Школа 268")</f>
        <v>Школа 268</v>
      </c>
      <c r="E389" s="5"/>
      <c r="F389" s="5"/>
      <c r="G389" s="5"/>
      <c r="H389" s="5"/>
      <c r="I389" s="5"/>
      <c r="J389" s="5"/>
      <c r="K389" s="5"/>
      <c r="L389" s="5"/>
      <c r="M389">
        <f ca="1">IFERROR(__xludf.DUMMYFUNCTION("""COMPUTED_VALUE"""),0)</f>
        <v>0</v>
      </c>
      <c r="N389" s="8"/>
    </row>
    <row r="390" spans="1:14" ht="12.45" hidden="1">
      <c r="A390" t="str">
        <f ca="1">IFERROR(__xludf.DUMMYFUNCTION("""COMPUTED_VALUE"""),"V-2-342")</f>
        <v>V-2-342</v>
      </c>
      <c r="B390" t="str">
        <f ca="1">IFERROR(__xludf.DUMMYFUNCTION("""COMPUTED_VALUE"""),"Поникаров")</f>
        <v>Поникаров</v>
      </c>
      <c r="C390" t="str">
        <f ca="1">IFERROR(__xludf.DUMMYFUNCTION("""COMPUTED_VALUE"""),"Кирилл")</f>
        <v>Кирилл</v>
      </c>
      <c r="D390" t="str">
        <f ca="1">IFERROR(__xludf.DUMMYFUNCTION("""COMPUTED_VALUE"""),"Школа 268")</f>
        <v>Школа 268</v>
      </c>
      <c r="E390" s="5"/>
      <c r="F390" s="5"/>
      <c r="G390" s="5"/>
      <c r="H390" s="5"/>
      <c r="I390" s="5"/>
      <c r="J390" s="5"/>
      <c r="K390" s="5"/>
      <c r="L390" s="5"/>
      <c r="M390">
        <f ca="1">IFERROR(__xludf.DUMMYFUNCTION("""COMPUTED_VALUE"""),0)</f>
        <v>0</v>
      </c>
      <c r="N390" s="8"/>
    </row>
    <row r="391" spans="1:14" ht="12.45" hidden="1">
      <c r="A391" t="str">
        <f ca="1">IFERROR(__xludf.DUMMYFUNCTION("""COMPUTED_VALUE"""),"V-2-353")</f>
        <v>V-2-353</v>
      </c>
      <c r="B391" t="str">
        <f ca="1">IFERROR(__xludf.DUMMYFUNCTION("""COMPUTED_VALUE"""),"Пылыпцив")</f>
        <v>Пылыпцив</v>
      </c>
      <c r="C391" t="str">
        <f ca="1">IFERROR(__xludf.DUMMYFUNCTION("""COMPUTED_VALUE"""),"Евгения")</f>
        <v>Евгения</v>
      </c>
      <c r="D391" t="str">
        <f ca="1">IFERROR(__xludf.DUMMYFUNCTION("""COMPUTED_VALUE"""),"Школа 268")</f>
        <v>Школа 268</v>
      </c>
      <c r="E391" s="5"/>
      <c r="F391" s="5"/>
      <c r="G391" s="5"/>
      <c r="H391" s="5"/>
      <c r="I391" s="5"/>
      <c r="J391" s="5"/>
      <c r="K391" s="5"/>
      <c r="L391" s="5"/>
      <c r="M391">
        <f ca="1">IFERROR(__xludf.DUMMYFUNCTION("""COMPUTED_VALUE"""),0)</f>
        <v>0</v>
      </c>
      <c r="N391" s="8"/>
    </row>
    <row r="392" spans="1:14" ht="12.45" hidden="1">
      <c r="A392" t="str">
        <f ca="1">IFERROR(__xludf.DUMMYFUNCTION("""COMPUTED_VALUE"""),"V-2-377")</f>
        <v>V-2-377</v>
      </c>
      <c r="B392" t="str">
        <f ca="1">IFERROR(__xludf.DUMMYFUNCTION("""COMPUTED_VALUE"""),"Семенов")</f>
        <v>Семенов</v>
      </c>
      <c r="C392" t="str">
        <f ca="1">IFERROR(__xludf.DUMMYFUNCTION("""COMPUTED_VALUE"""),"Виктор")</f>
        <v>Виктор</v>
      </c>
      <c r="D392" t="str">
        <f ca="1">IFERROR(__xludf.DUMMYFUNCTION("""COMPUTED_VALUE"""),"Школа 268")</f>
        <v>Школа 268</v>
      </c>
      <c r="E392" s="5"/>
      <c r="F392" s="5"/>
      <c r="G392" s="5"/>
      <c r="H392" s="5"/>
      <c r="I392" s="5"/>
      <c r="J392" s="5"/>
      <c r="K392" s="5"/>
      <c r="L392" s="5"/>
      <c r="M392">
        <f ca="1">IFERROR(__xludf.DUMMYFUNCTION("""COMPUTED_VALUE"""),0)</f>
        <v>0</v>
      </c>
      <c r="N392" s="8"/>
    </row>
    <row r="393" spans="1:14" ht="12.45" hidden="1">
      <c r="A393" t="str">
        <f ca="1">IFERROR(__xludf.DUMMYFUNCTION("""COMPUTED_VALUE"""),"V-2-336")</f>
        <v>V-2-336</v>
      </c>
      <c r="B393" t="str">
        <f ca="1">IFERROR(__xludf.DUMMYFUNCTION("""COMPUTED_VALUE"""),"Полежаев")</f>
        <v>Полежаев</v>
      </c>
      <c r="C393" t="str">
        <f ca="1">IFERROR(__xludf.DUMMYFUNCTION("""COMPUTED_VALUE"""),"Артём")</f>
        <v>Артём</v>
      </c>
      <c r="D393" t="str">
        <f ca="1">IFERROR(__xludf.DUMMYFUNCTION("""COMPUTED_VALUE"""),"Школа 342")</f>
        <v>Школа 342</v>
      </c>
      <c r="E393" s="5"/>
      <c r="F393" s="5"/>
      <c r="G393" s="5"/>
      <c r="H393" s="5"/>
      <c r="I393" s="5"/>
      <c r="J393" s="5"/>
      <c r="K393" s="5"/>
      <c r="L393" s="5"/>
      <c r="M393">
        <f ca="1">IFERROR(__xludf.DUMMYFUNCTION("""COMPUTED_VALUE"""),0)</f>
        <v>0</v>
      </c>
      <c r="N393" s="8"/>
    </row>
    <row r="394" spans="1:14" ht="12.45" hidden="1">
      <c r="A394" t="str">
        <f ca="1">IFERROR(__xludf.DUMMYFUNCTION("""COMPUTED_VALUE"""),"V-2-374")</f>
        <v>V-2-374</v>
      </c>
      <c r="B394" t="str">
        <f ca="1">IFERROR(__xludf.DUMMYFUNCTION("""COMPUTED_VALUE"""),"Саркисян")</f>
        <v>Саркисян</v>
      </c>
      <c r="C394" t="str">
        <f ca="1">IFERROR(__xludf.DUMMYFUNCTION("""COMPUTED_VALUE"""),"Кристина")</f>
        <v>Кристина</v>
      </c>
      <c r="D394" t="str">
        <f ca="1">IFERROR(__xludf.DUMMYFUNCTION("""COMPUTED_VALUE"""),"Гимназия 73")</f>
        <v>Гимназия 73</v>
      </c>
      <c r="E394" s="5"/>
      <c r="F394" s="5"/>
      <c r="G394" s="5"/>
      <c r="H394" s="5"/>
      <c r="I394" s="5"/>
      <c r="J394" s="5"/>
      <c r="K394" s="5"/>
      <c r="L394" s="5"/>
      <c r="M394">
        <f ca="1">IFERROR(__xludf.DUMMYFUNCTION("""COMPUTED_VALUE"""),0)</f>
        <v>0</v>
      </c>
      <c r="N394" s="8"/>
    </row>
    <row r="395" spans="1:14" ht="12.45" hidden="1">
      <c r="A395" t="str">
        <f ca="1">IFERROR(__xludf.DUMMYFUNCTION("""COMPUTED_VALUE"""),"V-2-289")</f>
        <v>V-2-289</v>
      </c>
      <c r="B395" t="str">
        <f ca="1">IFERROR(__xludf.DUMMYFUNCTION("""COMPUTED_VALUE"""),"Михина")</f>
        <v>Михина</v>
      </c>
      <c r="C395" t="str">
        <f ca="1">IFERROR(__xludf.DUMMYFUNCTION("""COMPUTED_VALUE"""),"Антонина")</f>
        <v>Антонина</v>
      </c>
      <c r="D395" t="str">
        <f ca="1">IFERROR(__xludf.DUMMYFUNCTION("""COMPUTED_VALUE"""),"Школа 435")</f>
        <v>Школа 435</v>
      </c>
      <c r="E395" s="5"/>
      <c r="F395" s="5"/>
      <c r="G395" s="5"/>
      <c r="H395" s="5"/>
      <c r="I395" s="5"/>
      <c r="J395" s="5"/>
      <c r="K395" s="5"/>
      <c r="L395" s="5"/>
      <c r="M395">
        <f ca="1">IFERROR(__xludf.DUMMYFUNCTION("""COMPUTED_VALUE"""),0)</f>
        <v>0</v>
      </c>
      <c r="N395" s="8"/>
    </row>
    <row r="396" spans="1:14" ht="12.45" hidden="1">
      <c r="A396" t="str">
        <f ca="1">IFERROR(__xludf.DUMMYFUNCTION("""COMPUTED_VALUE"""),"III-2-217")</f>
        <v>III-2-217</v>
      </c>
      <c r="B396" t="str">
        <f ca="1">IFERROR(__xludf.DUMMYFUNCTION("""COMPUTED_VALUE"""),"Кольбус")</f>
        <v>Кольбус</v>
      </c>
      <c r="C396" t="str">
        <f ca="1">IFERROR(__xludf.DUMMYFUNCTION("""COMPUTED_VALUE"""),"Никита")</f>
        <v>Никита</v>
      </c>
      <c r="D396" t="str">
        <f ca="1">IFERROR(__xludf.DUMMYFUNCTION("""COMPUTED_VALUE"""),"Школа 435")</f>
        <v>Школа 435</v>
      </c>
      <c r="E396" s="5"/>
      <c r="F396" s="5"/>
      <c r="G396" s="5"/>
      <c r="H396" s="5"/>
      <c r="I396" s="5"/>
      <c r="J396" s="5"/>
      <c r="K396" s="5"/>
      <c r="L396" s="5"/>
      <c r="M396">
        <f ca="1">IFERROR(__xludf.DUMMYFUNCTION("""COMPUTED_VALUE"""),0)</f>
        <v>0</v>
      </c>
      <c r="N396" s="8"/>
    </row>
    <row r="397" spans="1:14" ht="12.45" hidden="1">
      <c r="A397" t="str">
        <f ca="1">IFERROR(__xludf.DUMMYFUNCTION("""COMPUTED_VALUE"""),"III-2-031")</f>
        <v>III-2-031</v>
      </c>
      <c r="B397" t="str">
        <f ca="1">IFERROR(__xludf.DUMMYFUNCTION("""COMPUTED_VALUE"""),"Бабичев")</f>
        <v>Бабичев</v>
      </c>
      <c r="C397" t="str">
        <f ca="1">IFERROR(__xludf.DUMMYFUNCTION("""COMPUTED_VALUE"""),"Никита")</f>
        <v>Никита</v>
      </c>
      <c r="D397" t="str">
        <f ca="1">IFERROR(__xludf.DUMMYFUNCTION("""COMPUTED_VALUE"""),"Школа 435")</f>
        <v>Школа 435</v>
      </c>
      <c r="E397" s="5"/>
      <c r="F397" s="5"/>
      <c r="G397" s="5"/>
      <c r="H397" s="5"/>
      <c r="I397" s="5"/>
      <c r="J397" s="5"/>
      <c r="K397" s="5"/>
      <c r="L397" s="5"/>
      <c r="M397">
        <f ca="1">IFERROR(__xludf.DUMMYFUNCTION("""COMPUTED_VALUE"""),0)</f>
        <v>0</v>
      </c>
      <c r="N397" s="8"/>
    </row>
    <row r="398" spans="1:14" ht="12.45" hidden="1">
      <c r="A398" t="str">
        <f ca="1">IFERROR(__xludf.DUMMYFUNCTION("""COMPUTED_VALUE"""),"III-2-164")</f>
        <v>III-2-164</v>
      </c>
      <c r="B398" t="str">
        <f ca="1">IFERROR(__xludf.DUMMYFUNCTION("""COMPUTED_VALUE"""),"Заика")</f>
        <v>Заика</v>
      </c>
      <c r="C398" t="str">
        <f ca="1">IFERROR(__xludf.DUMMYFUNCTION("""COMPUTED_VALUE"""),"Степан")</f>
        <v>Степан</v>
      </c>
      <c r="D398" t="str">
        <f ca="1">IFERROR(__xludf.DUMMYFUNCTION("""COMPUTED_VALUE"""),"Школа 435")</f>
        <v>Школа 435</v>
      </c>
      <c r="E398" s="5"/>
      <c r="F398" s="5"/>
      <c r="G398" s="5"/>
      <c r="H398" s="5"/>
      <c r="I398" s="5"/>
      <c r="J398" s="5"/>
      <c r="K398" s="5"/>
      <c r="L398" s="5"/>
      <c r="M398">
        <f ca="1">IFERROR(__xludf.DUMMYFUNCTION("""COMPUTED_VALUE"""),0)</f>
        <v>0</v>
      </c>
      <c r="N398" s="8"/>
    </row>
    <row r="399" spans="1:14" ht="12.45" hidden="1">
      <c r="A399" t="str">
        <f ca="1">IFERROR(__xludf.DUMMYFUNCTION("""COMPUTED_VALUE"""),"V-2-355")</f>
        <v>V-2-355</v>
      </c>
      <c r="B399" t="str">
        <f ca="1">IFERROR(__xludf.DUMMYFUNCTION("""COMPUTED_VALUE"""),"Реутская")</f>
        <v>Реутская</v>
      </c>
      <c r="C399" t="str">
        <f ca="1">IFERROR(__xludf.DUMMYFUNCTION("""COMPUTED_VALUE"""),"Елизавета")</f>
        <v>Елизавета</v>
      </c>
      <c r="D399" t="str">
        <f ca="1">IFERROR(__xludf.DUMMYFUNCTION("""COMPUTED_VALUE"""),"Школа 435")</f>
        <v>Школа 435</v>
      </c>
      <c r="E399" s="5"/>
      <c r="F399" s="5"/>
      <c r="G399" s="5"/>
      <c r="H399" s="5"/>
      <c r="I399" s="5"/>
      <c r="J399" s="5"/>
      <c r="K399" s="5"/>
      <c r="L399" s="5"/>
      <c r="M399">
        <f ca="1">IFERROR(__xludf.DUMMYFUNCTION("""COMPUTED_VALUE"""),0)</f>
        <v>0</v>
      </c>
      <c r="N399" s="8"/>
    </row>
    <row r="400" spans="1:14" ht="12.45" hidden="1">
      <c r="A400" t="str">
        <f ca="1">IFERROR(__xludf.DUMMYFUNCTION("""COMPUTED_VALUE"""),"V-2-444")</f>
        <v>V-2-444</v>
      </c>
      <c r="B400" t="str">
        <f ca="1">IFERROR(__xludf.DUMMYFUNCTION("""COMPUTED_VALUE"""),"Фогель")</f>
        <v>Фогель</v>
      </c>
      <c r="C400" t="str">
        <f ca="1">IFERROR(__xludf.DUMMYFUNCTION("""COMPUTED_VALUE"""),"Екатерина")</f>
        <v>Екатерина</v>
      </c>
      <c r="D400" t="str">
        <f ca="1">IFERROR(__xludf.DUMMYFUNCTION("""COMPUTED_VALUE"""),"Школа 435")</f>
        <v>Школа 435</v>
      </c>
      <c r="E400" s="5"/>
      <c r="F400" s="5"/>
      <c r="G400" s="5"/>
      <c r="H400" s="5"/>
      <c r="I400" s="5"/>
      <c r="J400" s="5"/>
      <c r="K400" s="5"/>
      <c r="L400" s="5"/>
      <c r="M400">
        <f ca="1">IFERROR(__xludf.DUMMYFUNCTION("""COMPUTED_VALUE"""),0)</f>
        <v>0</v>
      </c>
      <c r="N400" s="8"/>
    </row>
    <row r="401" spans="1:14" ht="12.45" hidden="1">
      <c r="A401" t="str">
        <f ca="1">IFERROR(__xludf.DUMMYFUNCTION("""COMPUTED_VALUE"""),"III-2-206")</f>
        <v>III-2-206</v>
      </c>
      <c r="B401" t="str">
        <f ca="1">IFERROR(__xludf.DUMMYFUNCTION("""COMPUTED_VALUE"""),"Клишин")</f>
        <v>Клишин</v>
      </c>
      <c r="C401" t="str">
        <f ca="1">IFERROR(__xludf.DUMMYFUNCTION("""COMPUTED_VALUE"""),"Владислав")</f>
        <v>Владислав</v>
      </c>
      <c r="D401" t="str">
        <f ca="1">IFERROR(__xludf.DUMMYFUNCTION("""COMPUTED_VALUE"""),"Школа 630")</f>
        <v>Школа 630</v>
      </c>
      <c r="E401" s="5"/>
      <c r="F401" s="5"/>
      <c r="G401" s="5"/>
      <c r="H401" s="5"/>
      <c r="I401" s="5"/>
      <c r="J401" s="5"/>
      <c r="K401" s="5"/>
      <c r="L401" s="5"/>
      <c r="M401">
        <f ca="1">IFERROR(__xludf.DUMMYFUNCTION("""COMPUTED_VALUE"""),0)</f>
        <v>0</v>
      </c>
      <c r="N401" s="8"/>
    </row>
    <row r="402" spans="1:14" ht="12.45" hidden="1">
      <c r="A402" t="str">
        <f ca="1">IFERROR(__xludf.DUMMYFUNCTION("""COMPUTED_VALUE"""),"III-2-015")</f>
        <v>III-2-015</v>
      </c>
      <c r="B402" t="str">
        <f ca="1">IFERROR(__xludf.DUMMYFUNCTION("""COMPUTED_VALUE"""),"Амусья")</f>
        <v>Амусья</v>
      </c>
      <c r="C402" t="str">
        <f ca="1">IFERROR(__xludf.DUMMYFUNCTION("""COMPUTED_VALUE"""),"Михаил")</f>
        <v>Михаил</v>
      </c>
      <c r="D402" t="str">
        <f ca="1">IFERROR(__xludf.DUMMYFUNCTION("""COMPUTED_VALUE"""),"Школа 80")</f>
        <v>Школа 80</v>
      </c>
      <c r="E402" s="5"/>
      <c r="F402" s="5"/>
      <c r="G402" s="5"/>
      <c r="H402" s="5"/>
      <c r="I402" s="5"/>
      <c r="J402" s="5"/>
      <c r="K402" s="5"/>
      <c r="L402" s="5"/>
      <c r="M402">
        <f ca="1">IFERROR(__xludf.DUMMYFUNCTION("""COMPUTED_VALUE"""),0)</f>
        <v>0</v>
      </c>
      <c r="N402" s="8"/>
    </row>
    <row r="403" spans="1:14" ht="12.45" hidden="1">
      <c r="A403" t="str">
        <f ca="1">IFERROR(__xludf.DUMMYFUNCTION("""COMPUTED_VALUE"""),"V-2-455")</f>
        <v>V-2-455</v>
      </c>
      <c r="B403" t="str">
        <f ca="1">IFERROR(__xludf.DUMMYFUNCTION("""COMPUTED_VALUE"""),"Ченцова")</f>
        <v>Ченцова</v>
      </c>
      <c r="C403" t="str">
        <f ca="1">IFERROR(__xludf.DUMMYFUNCTION("""COMPUTED_VALUE"""),"Полина")</f>
        <v>Полина</v>
      </c>
      <c r="D403" t="str">
        <f ca="1">IFERROR(__xludf.DUMMYFUNCTION("""COMPUTED_VALUE"""),"Школа 80")</f>
        <v>Школа 80</v>
      </c>
      <c r="E403" s="5"/>
      <c r="F403" s="5"/>
      <c r="G403" s="5"/>
      <c r="H403" s="5"/>
      <c r="I403" s="5"/>
      <c r="J403" s="5"/>
      <c r="K403" s="5"/>
      <c r="L403" s="5"/>
      <c r="M403">
        <f ca="1">IFERROR(__xludf.DUMMYFUNCTION("""COMPUTED_VALUE"""),0)</f>
        <v>0</v>
      </c>
      <c r="N403" s="8"/>
    </row>
    <row r="404" spans="1:14" ht="12.45" hidden="1">
      <c r="A404" t="str">
        <f ca="1">IFERROR(__xludf.DUMMYFUNCTION("""COMPUTED_VALUE"""),"III-2-030")</f>
        <v>III-2-030</v>
      </c>
      <c r="B404" t="str">
        <f ca="1">IFERROR(__xludf.DUMMYFUNCTION("""COMPUTED_VALUE"""),"Бабин")</f>
        <v>Бабин</v>
      </c>
      <c r="C404" t="str">
        <f ca="1">IFERROR(__xludf.DUMMYFUNCTION("""COMPUTED_VALUE"""),"Макар")</f>
        <v>Макар</v>
      </c>
      <c r="D404" t="str">
        <f ca="1">IFERROR(__xludf.DUMMYFUNCTION("""COMPUTED_VALUE"""),"Гимназия Вторая гимназия")</f>
        <v>Гимназия Вторая гимназия</v>
      </c>
      <c r="E404" s="5"/>
      <c r="F404" s="5"/>
      <c r="G404" s="5"/>
      <c r="H404" s="5"/>
      <c r="I404" s="5"/>
      <c r="J404" s="5"/>
      <c r="K404" s="5"/>
      <c r="L404" s="5"/>
      <c r="M404">
        <f ca="1">IFERROR(__xludf.DUMMYFUNCTION("""COMPUTED_VALUE"""),0)</f>
        <v>0</v>
      </c>
      <c r="N404" s="8"/>
    </row>
    <row r="405" spans="1:14" ht="12.45" hidden="1">
      <c r="A405" t="str">
        <f ca="1">IFERROR(__xludf.DUMMYFUNCTION("""COMPUTED_VALUE"""),"V-2-330")</f>
        <v>V-2-330</v>
      </c>
      <c r="B405" t="str">
        <f ca="1">IFERROR(__xludf.DUMMYFUNCTION("""COMPUTED_VALUE"""),"паксадзе")</f>
        <v>паксадзе</v>
      </c>
      <c r="C405" t="str">
        <f ca="1">IFERROR(__xludf.DUMMYFUNCTION("""COMPUTED_VALUE"""),"георгий")</f>
        <v>георгий</v>
      </c>
      <c r="D405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405" s="5"/>
      <c r="F405" s="5"/>
      <c r="G405" s="5"/>
      <c r="H405" s="5"/>
      <c r="I405" s="5"/>
      <c r="J405" s="5"/>
      <c r="K405" s="5"/>
      <c r="L405" s="5"/>
      <c r="M405">
        <f ca="1">IFERROR(__xludf.DUMMYFUNCTION("""COMPUTED_VALUE"""),0)</f>
        <v>0</v>
      </c>
      <c r="N405" s="8"/>
    </row>
    <row r="406" spans="1:14" ht="12.45" hidden="1">
      <c r="A406" t="str">
        <f ca="1">IFERROR(__xludf.DUMMYFUNCTION("""COMPUTED_VALUE"""),"III-2-231")</f>
        <v>III-2-231</v>
      </c>
      <c r="B406" t="str">
        <f ca="1">IFERROR(__xludf.DUMMYFUNCTION("""COMPUTED_VALUE"""),"Кудряшова")</f>
        <v>Кудряшова</v>
      </c>
      <c r="C406" t="str">
        <f ca="1">IFERROR(__xludf.DUMMYFUNCTION("""COMPUTED_VALUE"""),"Алёна")</f>
        <v>Алёна</v>
      </c>
      <c r="D406" t="str">
        <f ca="1">IFERROR(__xludf.DUMMYFUNCTION("""COMPUTED_VALUE"""),"Школа 342")</f>
        <v>Школа 342</v>
      </c>
      <c r="E406" s="5"/>
      <c r="F406" s="5"/>
      <c r="G406" s="5"/>
      <c r="H406" s="5"/>
      <c r="I406" s="5"/>
      <c r="J406" s="5"/>
      <c r="K406" s="5"/>
      <c r="L406" s="5"/>
      <c r="M406">
        <f ca="1">IFERROR(__xludf.DUMMYFUNCTION("""COMPUTED_VALUE"""),0)</f>
        <v>0</v>
      </c>
      <c r="N406" s="8"/>
    </row>
    <row r="407" spans="1:14" ht="12.45" hidden="1">
      <c r="A407" t="str">
        <f ca="1">IFERROR(__xludf.DUMMYFUNCTION("""COMPUTED_VALUE"""),"V-2-334")</f>
        <v>V-2-334</v>
      </c>
      <c r="B407" t="str">
        <f ca="1">IFERROR(__xludf.DUMMYFUNCTION("""COMPUTED_VALUE"""),"Плечева")</f>
        <v>Плечева</v>
      </c>
      <c r="C407" t="str">
        <f ca="1">IFERROR(__xludf.DUMMYFUNCTION("""COMPUTED_VALUE"""),"Елизавета")</f>
        <v>Елизавета</v>
      </c>
      <c r="D407" t="str">
        <f ca="1">IFERROR(__xludf.DUMMYFUNCTION("""COMPUTED_VALUE"""),"Школа 342")</f>
        <v>Школа 342</v>
      </c>
      <c r="E407" s="5"/>
      <c r="F407" s="5"/>
      <c r="G407" s="5"/>
      <c r="H407" s="5"/>
      <c r="I407" s="5"/>
      <c r="J407" s="5"/>
      <c r="K407" s="5"/>
      <c r="L407" s="5"/>
      <c r="M407">
        <f ca="1">IFERROR(__xludf.DUMMYFUNCTION("""COMPUTED_VALUE"""),0)</f>
        <v>0</v>
      </c>
      <c r="N407" s="8"/>
    </row>
    <row r="408" spans="1:14" ht="12.45" hidden="1">
      <c r="A408" t="str">
        <f ca="1">IFERROR(__xludf.DUMMYFUNCTION("""COMPUTED_VALUE"""),"V-2-382")</f>
        <v>V-2-382</v>
      </c>
      <c r="B408" t="str">
        <f ca="1">IFERROR(__xludf.DUMMYFUNCTION("""COMPUTED_VALUE"""),"Сергеева")</f>
        <v>Сергеева</v>
      </c>
      <c r="C408" t="str">
        <f ca="1">IFERROR(__xludf.DUMMYFUNCTION("""COMPUTED_VALUE"""),"Полина")</f>
        <v>Полина</v>
      </c>
      <c r="D408" t="str">
        <f ca="1">IFERROR(__xludf.DUMMYFUNCTION("""COMPUTED_VALUE"""),"Школа 342")</f>
        <v>Школа 342</v>
      </c>
      <c r="E408" s="5"/>
      <c r="F408" s="5"/>
      <c r="G408" s="5"/>
      <c r="H408" s="5"/>
      <c r="I408" s="5"/>
      <c r="J408" s="5"/>
      <c r="K408" s="5"/>
      <c r="L408" s="5"/>
      <c r="M408">
        <f ca="1">IFERROR(__xludf.DUMMYFUNCTION("""COMPUTED_VALUE"""),0)</f>
        <v>0</v>
      </c>
      <c r="N408" s="8"/>
    </row>
    <row r="409" spans="1:14" ht="12.45" hidden="1">
      <c r="A409" t="str">
        <f ca="1">IFERROR(__xludf.DUMMYFUNCTION("""COMPUTED_VALUE"""),"III-2-104")</f>
        <v>III-2-104</v>
      </c>
      <c r="B409" t="str">
        <f ca="1">IFERROR(__xludf.DUMMYFUNCTION("""COMPUTED_VALUE"""),"Горшков")</f>
        <v>Горшков</v>
      </c>
      <c r="C409" t="str">
        <f ca="1">IFERROR(__xludf.DUMMYFUNCTION("""COMPUTED_VALUE"""),"Кирилл")</f>
        <v>Кирилл</v>
      </c>
      <c r="D409" t="str">
        <f ca="1">IFERROR(__xludf.DUMMYFUNCTION("""COMPUTED_VALUE"""),"Школа Средняя школа 21")</f>
        <v>Школа Средняя школа 21</v>
      </c>
      <c r="E409" s="5"/>
      <c r="F409" s="5"/>
      <c r="G409" s="5"/>
      <c r="H409" s="5"/>
      <c r="I409" s="5"/>
      <c r="J409" s="5"/>
      <c r="K409" s="5"/>
      <c r="L409" s="5"/>
      <c r="M409">
        <f ca="1">IFERROR(__xludf.DUMMYFUNCTION("""COMPUTED_VALUE"""),0)</f>
        <v>0</v>
      </c>
      <c r="N409" s="8"/>
    </row>
    <row r="410" spans="1:14" ht="12.45" hidden="1">
      <c r="A410" t="str">
        <f ca="1">IFERROR(__xludf.DUMMYFUNCTION("""COMPUTED_VALUE"""),"V-2-399")</f>
        <v>V-2-399</v>
      </c>
      <c r="B410" t="str">
        <f ca="1">IFERROR(__xludf.DUMMYFUNCTION("""COMPUTED_VALUE"""),"Смирнова")</f>
        <v>Смирнова</v>
      </c>
      <c r="C410" t="str">
        <f ca="1">IFERROR(__xludf.DUMMYFUNCTION("""COMPUTED_VALUE"""),"Дарья")</f>
        <v>Дарья</v>
      </c>
      <c r="D410" t="str">
        <f ca="1">IFERROR(__xludf.DUMMYFUNCTION("""COMPUTED_VALUE"""),"Школа 328")</f>
        <v>Школа 328</v>
      </c>
      <c r="E410" s="5"/>
      <c r="F410" s="5"/>
      <c r="G410" s="5"/>
      <c r="H410" s="5"/>
      <c r="I410" s="5"/>
      <c r="J410" s="5"/>
      <c r="K410" s="5"/>
      <c r="L410" s="5"/>
      <c r="M410">
        <f ca="1">IFERROR(__xludf.DUMMYFUNCTION("""COMPUTED_VALUE"""),0)</f>
        <v>0</v>
      </c>
      <c r="N410" s="8"/>
    </row>
    <row r="411" spans="1:14" ht="12.45" hidden="1">
      <c r="A411" t="str">
        <f ca="1">IFERROR(__xludf.DUMMYFUNCTION("""COMPUTED_VALUE"""),"V-2-431")</f>
        <v>V-2-431</v>
      </c>
      <c r="B411" t="str">
        <f ca="1">IFERROR(__xludf.DUMMYFUNCTION("""COMPUTED_VALUE"""),"Уланов")</f>
        <v>Уланов</v>
      </c>
      <c r="C411" t="str">
        <f ca="1">IFERROR(__xludf.DUMMYFUNCTION("""COMPUTED_VALUE"""),"Борис")</f>
        <v>Борис</v>
      </c>
      <c r="D411" t="str">
        <f ca="1">IFERROR(__xludf.DUMMYFUNCTION("""COMPUTED_VALUE"""),"Гимназия 540")</f>
        <v>Гимназия 540</v>
      </c>
      <c r="E411" s="5"/>
      <c r="F411" s="5"/>
      <c r="G411" s="5"/>
      <c r="H411" s="5"/>
      <c r="I411" s="5"/>
      <c r="J411" s="5"/>
      <c r="K411" s="5"/>
      <c r="L411" s="5"/>
      <c r="M411">
        <f ca="1">IFERROR(__xludf.DUMMYFUNCTION("""COMPUTED_VALUE"""),0)</f>
        <v>0</v>
      </c>
      <c r="N411" s="8"/>
    </row>
    <row r="412" spans="1:14" ht="12.45" hidden="1">
      <c r="A412" t="str">
        <f ca="1">IFERROR(__xludf.DUMMYFUNCTION("""COMPUTED_VALUE"""),"V-2-363")</f>
        <v>V-2-363</v>
      </c>
      <c r="B412" t="str">
        <f ca="1">IFERROR(__xludf.DUMMYFUNCTION("""COMPUTED_VALUE"""),"Рыжова")</f>
        <v>Рыжова</v>
      </c>
      <c r="C412" t="str">
        <f ca="1">IFERROR(__xludf.DUMMYFUNCTION("""COMPUTED_VALUE"""),"Дарья")</f>
        <v>Дарья</v>
      </c>
      <c r="D412" t="str">
        <f ca="1">IFERROR(__xludf.DUMMYFUNCTION("""COMPUTED_VALUE"""),"Лицей 597")</f>
        <v>Лицей 597</v>
      </c>
      <c r="E412" s="5"/>
      <c r="F412" s="5"/>
      <c r="G412" s="5"/>
      <c r="H412" s="5"/>
      <c r="I412" s="5"/>
      <c r="J412" s="5"/>
      <c r="K412" s="5"/>
      <c r="L412" s="5"/>
      <c r="M412">
        <f ca="1">IFERROR(__xludf.DUMMYFUNCTION("""COMPUTED_VALUE"""),0)</f>
        <v>0</v>
      </c>
      <c r="N412" s="8"/>
    </row>
    <row r="413" spans="1:14" ht="12.45" hidden="1">
      <c r="A413" t="str">
        <f ca="1">IFERROR(__xludf.DUMMYFUNCTION("""COMPUTED_VALUE"""),"V-2-419")</f>
        <v>V-2-419</v>
      </c>
      <c r="B413" t="str">
        <f ca="1">IFERROR(__xludf.DUMMYFUNCTION("""COMPUTED_VALUE"""),"Сухова")</f>
        <v>Сухова</v>
      </c>
      <c r="C413" t="str">
        <f ca="1">IFERROR(__xludf.DUMMYFUNCTION("""COMPUTED_VALUE"""),"Александра")</f>
        <v>Александра</v>
      </c>
      <c r="D413" t="str">
        <f ca="1">IFERROR(__xludf.DUMMYFUNCTION("""COMPUTED_VALUE"""),"Гимназия 526")</f>
        <v>Гимназия 526</v>
      </c>
      <c r="E413" s="5"/>
      <c r="F413" s="5"/>
      <c r="G413" s="5"/>
      <c r="H413" s="5"/>
      <c r="I413" s="5"/>
      <c r="J413" s="5"/>
      <c r="K413" s="5"/>
      <c r="L413" s="5"/>
      <c r="M413">
        <f ca="1">IFERROR(__xludf.DUMMYFUNCTION("""COMPUTED_VALUE"""),0)</f>
        <v>0</v>
      </c>
      <c r="N413" s="8"/>
    </row>
    <row r="414" spans="1:14" ht="12.45" hidden="1">
      <c r="A414" t="str">
        <f ca="1">IFERROR(__xludf.DUMMYFUNCTION("""COMPUTED_VALUE"""),"V-2-332")</f>
        <v>V-2-332</v>
      </c>
      <c r="B414" t="str">
        <f ca="1">IFERROR(__xludf.DUMMYFUNCTION("""COMPUTED_VALUE"""),"Петросян")</f>
        <v>Петросян</v>
      </c>
      <c r="C414" t="str">
        <f ca="1">IFERROR(__xludf.DUMMYFUNCTION("""COMPUTED_VALUE"""),"Александр")</f>
        <v>Александр</v>
      </c>
      <c r="D414" t="str">
        <f ca="1">IFERROR(__xludf.DUMMYFUNCTION("""COMPUTED_VALUE"""),"Школа 65")</f>
        <v>Школа 65</v>
      </c>
      <c r="E414" s="5"/>
      <c r="F414" s="5"/>
      <c r="G414" s="5"/>
      <c r="H414" s="5"/>
      <c r="I414" s="5"/>
      <c r="J414" s="5"/>
      <c r="K414" s="5"/>
      <c r="L414" s="5"/>
      <c r="M414">
        <f ca="1">IFERROR(__xludf.DUMMYFUNCTION("""COMPUTED_VALUE"""),0)</f>
        <v>0</v>
      </c>
      <c r="N414" s="8"/>
    </row>
    <row r="415" spans="1:14" ht="12.45" hidden="1">
      <c r="A415" t="str">
        <f ca="1">IFERROR(__xludf.DUMMYFUNCTION("""COMPUTED_VALUE"""),"III-2-192")</f>
        <v>III-2-192</v>
      </c>
      <c r="B415" t="str">
        <f ca="1">IFERROR(__xludf.DUMMYFUNCTION("""COMPUTED_VALUE"""),"Кароль")</f>
        <v>Кароль</v>
      </c>
      <c r="C415" t="str">
        <f ca="1">IFERROR(__xludf.DUMMYFUNCTION("""COMPUTED_VALUE"""),"Ева")</f>
        <v>Ева</v>
      </c>
      <c r="D415" t="str">
        <f ca="1">IFERROR(__xludf.DUMMYFUNCTION("""COMPUTED_VALUE"""),"Школа Иоганн-Гёте-Шуле")</f>
        <v>Школа Иоганн-Гёте-Шуле</v>
      </c>
      <c r="E415" s="5"/>
      <c r="F415" s="5"/>
      <c r="G415" s="5"/>
      <c r="H415" s="5"/>
      <c r="I415" s="5"/>
      <c r="J415" s="5"/>
      <c r="K415" s="5"/>
      <c r="L415" s="5"/>
      <c r="M415">
        <f ca="1">IFERROR(__xludf.DUMMYFUNCTION("""COMPUTED_VALUE"""),0)</f>
        <v>0</v>
      </c>
      <c r="N415" s="8"/>
    </row>
    <row r="416" spans="1:14" ht="12.45" hidden="1">
      <c r="A416" t="str">
        <f ca="1">IFERROR(__xludf.DUMMYFUNCTION("""COMPUTED_VALUE"""),"V-2-269")</f>
        <v>V-2-269</v>
      </c>
      <c r="B416" t="str">
        <f ca="1">IFERROR(__xludf.DUMMYFUNCTION("""COMPUTED_VALUE"""),"Маликов")</f>
        <v>Маликов</v>
      </c>
      <c r="C416" t="str">
        <f ca="1">IFERROR(__xludf.DUMMYFUNCTION("""COMPUTED_VALUE"""),"Иван")</f>
        <v>Иван</v>
      </c>
      <c r="D416" t="str">
        <f ca="1">IFERROR(__xludf.DUMMYFUNCTION("""COMPUTED_VALUE"""),"Школа Иоган-Гете-Шуле")</f>
        <v>Школа Иоган-Гете-Шуле</v>
      </c>
      <c r="E416" s="5"/>
      <c r="F416" s="5"/>
      <c r="G416" s="5"/>
      <c r="H416" s="5"/>
      <c r="I416" s="5"/>
      <c r="J416" s="5"/>
      <c r="K416" s="5"/>
      <c r="L416" s="5"/>
      <c r="M416">
        <f ca="1">IFERROR(__xludf.DUMMYFUNCTION("""COMPUTED_VALUE"""),0)</f>
        <v>0</v>
      </c>
      <c r="N416" s="8"/>
    </row>
    <row r="417" spans="1:14" ht="12.45" hidden="1">
      <c r="A417" t="str">
        <f ca="1">IFERROR(__xludf.DUMMYFUNCTION("""COMPUTED_VALUE"""),"V-2-343")</f>
        <v>V-2-343</v>
      </c>
      <c r="B417" t="str">
        <f ca="1">IFERROR(__xludf.DUMMYFUNCTION("""COMPUTED_VALUE"""),"Пономарев")</f>
        <v>Пономарев</v>
      </c>
      <c r="C417" t="str">
        <f ca="1">IFERROR(__xludf.DUMMYFUNCTION("""COMPUTED_VALUE"""),"Андрей")</f>
        <v>Андрей</v>
      </c>
      <c r="D417" t="str">
        <f ca="1">IFERROR(__xludf.DUMMYFUNCTION("""COMPUTED_VALUE"""),"Школа Школа Иоган-Гете-Шуле")</f>
        <v>Школа Школа Иоган-Гете-Шуле</v>
      </c>
      <c r="E417" s="5"/>
      <c r="F417" s="5"/>
      <c r="G417" s="5"/>
      <c r="H417" s="5"/>
      <c r="I417" s="5"/>
      <c r="J417" s="5"/>
      <c r="K417" s="5"/>
      <c r="L417" s="5"/>
      <c r="M417">
        <f ca="1">IFERROR(__xludf.DUMMYFUNCTION("""COMPUTED_VALUE"""),0)</f>
        <v>0</v>
      </c>
      <c r="N417" s="8"/>
    </row>
    <row r="418" spans="1:14" ht="12.45" hidden="1">
      <c r="A418" t="str">
        <f ca="1">IFERROR(__xludf.DUMMYFUNCTION("""COMPUTED_VALUE"""),"III-2-047")</f>
        <v>III-2-047</v>
      </c>
      <c r="B418" t="str">
        <f ca="1">IFERROR(__xludf.DUMMYFUNCTION("""COMPUTED_VALUE"""),"Бирюков")</f>
        <v>Бирюков</v>
      </c>
      <c r="C418" t="str">
        <f ca="1">IFERROR(__xludf.DUMMYFUNCTION("""COMPUTED_VALUE"""),"Михаил")</f>
        <v>Михаил</v>
      </c>
      <c r="D418" t="str">
        <f ca="1">IFERROR(__xludf.DUMMYFUNCTION("""COMPUTED_VALUE"""),"Школа Гёте-Шуле")</f>
        <v>Школа Гёте-Шуле</v>
      </c>
      <c r="E418" s="5"/>
      <c r="F418" s="5"/>
      <c r="G418" s="5"/>
      <c r="H418" s="5"/>
      <c r="I418" s="5"/>
      <c r="J418" s="5"/>
      <c r="K418" s="5"/>
      <c r="L418" s="5"/>
      <c r="M418">
        <f ca="1">IFERROR(__xludf.DUMMYFUNCTION("""COMPUTED_VALUE"""),0)</f>
        <v>0</v>
      </c>
      <c r="N418" s="8"/>
    </row>
    <row r="419" spans="1:14" ht="12.45" hidden="1">
      <c r="A419" t="str">
        <f ca="1">IFERROR(__xludf.DUMMYFUNCTION("""COMPUTED_VALUE"""),"V-2-381")</f>
        <v>V-2-381</v>
      </c>
      <c r="B419" t="str">
        <f ca="1">IFERROR(__xludf.DUMMYFUNCTION("""COMPUTED_VALUE"""),"Сергеев")</f>
        <v>Сергеев</v>
      </c>
      <c r="C419" t="str">
        <f ca="1">IFERROR(__xludf.DUMMYFUNCTION("""COMPUTED_VALUE"""),"Игорь")</f>
        <v>Игорь</v>
      </c>
      <c r="D419" t="str">
        <f ca="1">IFERROR(__xludf.DUMMYFUNCTION("""COMPUTED_VALUE"""),"Лицей 590")</f>
        <v>Лицей 590</v>
      </c>
      <c r="E419" s="5"/>
      <c r="F419" s="5"/>
      <c r="G419" s="5"/>
      <c r="H419" s="5"/>
      <c r="I419" s="5"/>
      <c r="J419" s="5"/>
      <c r="K419" s="5"/>
      <c r="L419" s="5"/>
      <c r="M419">
        <f ca="1">IFERROR(__xludf.DUMMYFUNCTION("""COMPUTED_VALUE"""),0)</f>
        <v>0</v>
      </c>
      <c r="N419" s="8"/>
    </row>
    <row r="420" spans="1:14" ht="12.45" hidden="1">
      <c r="A420" t="str">
        <f ca="1">IFERROR(__xludf.DUMMYFUNCTION("""COMPUTED_VALUE"""),"III-2-214")</f>
        <v>III-2-214</v>
      </c>
      <c r="B420" t="str">
        <f ca="1">IFERROR(__xludf.DUMMYFUNCTION("""COMPUTED_VALUE"""),"Кокоев")</f>
        <v>Кокоев</v>
      </c>
      <c r="C420" t="str">
        <f ca="1">IFERROR(__xludf.DUMMYFUNCTION("""COMPUTED_VALUE"""),"Георгий")</f>
        <v>Георгий</v>
      </c>
      <c r="D420" t="str">
        <f ca="1">IFERROR(__xludf.DUMMYFUNCTION("""COMPUTED_VALUE"""),"Гимназия 545")</f>
        <v>Гимназия 545</v>
      </c>
      <c r="E420" s="5"/>
      <c r="F420" s="5"/>
      <c r="G420" s="5"/>
      <c r="H420" s="5"/>
      <c r="I420" s="5"/>
      <c r="J420" s="5"/>
      <c r="K420" s="5"/>
      <c r="L420" s="5"/>
      <c r="M420">
        <f ca="1">IFERROR(__xludf.DUMMYFUNCTION("""COMPUTED_VALUE"""),0)</f>
        <v>0</v>
      </c>
      <c r="N420" s="8"/>
    </row>
    <row r="421" spans="1:14" ht="12.45" hidden="1">
      <c r="A421" t="str">
        <f ca="1">IFERROR(__xludf.DUMMYFUNCTION("""COMPUTED_VALUE"""),"V-2-252")</f>
        <v>V-2-252</v>
      </c>
      <c r="B421" t="str">
        <f ca="1">IFERROR(__xludf.DUMMYFUNCTION("""COMPUTED_VALUE"""),"Леонтьева")</f>
        <v>Леонтьева</v>
      </c>
      <c r="C421" t="str">
        <f ca="1">IFERROR(__xludf.DUMMYFUNCTION("""COMPUTED_VALUE"""),"Алиса")</f>
        <v>Алиса</v>
      </c>
      <c r="D421" t="str">
        <f ca="1">IFERROR(__xludf.DUMMYFUNCTION("""COMPUTED_VALUE"""),"Школа 223")</f>
        <v>Школа 223</v>
      </c>
      <c r="E421" s="5"/>
      <c r="F421" s="5"/>
      <c r="G421" s="5"/>
      <c r="H421" s="5"/>
      <c r="I421" s="5"/>
      <c r="J421" s="5"/>
      <c r="K421" s="5"/>
      <c r="L421" s="5"/>
      <c r="M421">
        <f ca="1">IFERROR(__xludf.DUMMYFUNCTION("""COMPUTED_VALUE"""),0)</f>
        <v>0</v>
      </c>
      <c r="N421" s="8"/>
    </row>
    <row r="422" spans="1:14" ht="12.45" hidden="1">
      <c r="A422" t="str">
        <f ca="1">IFERROR(__xludf.DUMMYFUNCTION("""COMPUTED_VALUE"""),"III-2-203")</f>
        <v>III-2-203</v>
      </c>
      <c r="B422" t="str">
        <f ca="1">IFERROR(__xludf.DUMMYFUNCTION("""COMPUTED_VALUE"""),"Кирина")</f>
        <v>Кирина</v>
      </c>
      <c r="C422" t="str">
        <f ca="1">IFERROR(__xludf.DUMMYFUNCTION("""COMPUTED_VALUE"""),"Елизавета")</f>
        <v>Елизавета</v>
      </c>
      <c r="D422" t="str">
        <f ca="1">IFERROR(__xludf.DUMMYFUNCTION("""COMPUTED_VALUE"""),"Школа 223")</f>
        <v>Школа 223</v>
      </c>
      <c r="E422" s="5"/>
      <c r="F422" s="5"/>
      <c r="G422" s="5"/>
      <c r="H422" s="5"/>
      <c r="I422" s="5"/>
      <c r="J422" s="5"/>
      <c r="K422" s="5"/>
      <c r="L422" s="5"/>
      <c r="M422">
        <f ca="1">IFERROR(__xludf.DUMMYFUNCTION("""COMPUTED_VALUE"""),0)</f>
        <v>0</v>
      </c>
      <c r="N422" s="8"/>
    </row>
    <row r="423" spans="1:14" ht="12.45" hidden="1">
      <c r="A423" t="str">
        <f ca="1">IFERROR(__xludf.DUMMYFUNCTION("""COMPUTED_VALUE"""),"V-2-254")</f>
        <v>V-2-254</v>
      </c>
      <c r="B423" t="str">
        <f ca="1">IFERROR(__xludf.DUMMYFUNCTION("""COMPUTED_VALUE"""),"Лобанова")</f>
        <v>Лобанова</v>
      </c>
      <c r="C423" t="str">
        <f ca="1">IFERROR(__xludf.DUMMYFUNCTION("""COMPUTED_VALUE"""),"Вероника")</f>
        <v>Вероника</v>
      </c>
      <c r="D423" t="str">
        <f ca="1">IFERROR(__xludf.DUMMYFUNCTION("""COMPUTED_VALUE"""),"Школа 223")</f>
        <v>Школа 223</v>
      </c>
      <c r="E423" s="5"/>
      <c r="F423" s="5"/>
      <c r="G423" s="5"/>
      <c r="H423" s="5"/>
      <c r="I423" s="5"/>
      <c r="J423" s="5"/>
      <c r="K423" s="5"/>
      <c r="L423" s="5"/>
      <c r="M423">
        <f ca="1">IFERROR(__xludf.DUMMYFUNCTION("""COMPUTED_VALUE"""),0)</f>
        <v>0</v>
      </c>
      <c r="N423" s="8"/>
    </row>
    <row r="424" spans="1:14" ht="12.45" hidden="1">
      <c r="A424" t="str">
        <f ca="1">IFERROR(__xludf.DUMMYFUNCTION("""COMPUTED_VALUE"""),"V-2-316")</f>
        <v>V-2-316</v>
      </c>
      <c r="B424" t="str">
        <f ca="1">IFERROR(__xludf.DUMMYFUNCTION("""COMPUTED_VALUE"""),"Новиков")</f>
        <v>Новиков</v>
      </c>
      <c r="C424" t="str">
        <f ca="1">IFERROR(__xludf.DUMMYFUNCTION("""COMPUTED_VALUE"""),"Даниил")</f>
        <v>Даниил</v>
      </c>
      <c r="D424" t="str">
        <f ca="1">IFERROR(__xludf.DUMMYFUNCTION("""COMPUTED_VALUE"""),"Школа Новодевяткинская 1")</f>
        <v>Школа Новодевяткинская 1</v>
      </c>
      <c r="E424" s="5"/>
      <c r="F424" s="5"/>
      <c r="G424" s="5"/>
      <c r="H424" s="5"/>
      <c r="I424" s="5"/>
      <c r="J424" s="5"/>
      <c r="K424" s="5"/>
      <c r="L424" s="5"/>
      <c r="M424">
        <f ca="1">IFERROR(__xludf.DUMMYFUNCTION("""COMPUTED_VALUE"""),0)</f>
        <v>0</v>
      </c>
      <c r="N424" s="8"/>
    </row>
    <row r="425" spans="1:14" ht="12.45" hidden="1">
      <c r="A425" t="str">
        <f ca="1">IFERROR(__xludf.DUMMYFUNCTION("""COMPUTED_VALUE"""),"V-2-305")</f>
        <v>V-2-305</v>
      </c>
      <c r="B425" t="str">
        <f ca="1">IFERROR(__xludf.DUMMYFUNCTION("""COMPUTED_VALUE"""),"Назарова")</f>
        <v>Назарова</v>
      </c>
      <c r="C425" t="str">
        <f ca="1">IFERROR(__xludf.DUMMYFUNCTION("""COMPUTED_VALUE"""),"Дарья")</f>
        <v>Дарья</v>
      </c>
      <c r="D425" t="str">
        <f ca="1">IFERROR(__xludf.DUMMYFUNCTION("""COMPUTED_VALUE"""),"Лицей 29")</f>
        <v>Лицей 29</v>
      </c>
      <c r="E425" s="5"/>
      <c r="F425" s="5"/>
      <c r="G425" s="5"/>
      <c r="H425" s="5"/>
      <c r="I425" s="5"/>
      <c r="J425" s="5"/>
      <c r="K425" s="5"/>
      <c r="L425" s="5"/>
      <c r="M425">
        <f ca="1">IFERROR(__xludf.DUMMYFUNCTION("""COMPUTED_VALUE"""),0)</f>
        <v>0</v>
      </c>
      <c r="N425" s="8"/>
    </row>
    <row r="426" spans="1:14" ht="12.45" hidden="1">
      <c r="A426" t="str">
        <f ca="1">IFERROR(__xludf.DUMMYFUNCTION("""COMPUTED_VALUE"""),"V-2-321")</f>
        <v>V-2-321</v>
      </c>
      <c r="B426" t="str">
        <f ca="1">IFERROR(__xludf.DUMMYFUNCTION("""COMPUTED_VALUE"""),"Носков")</f>
        <v>Носков</v>
      </c>
      <c r="C426" t="str">
        <f ca="1">IFERROR(__xludf.DUMMYFUNCTION("""COMPUTED_VALUE"""),"Григорий")</f>
        <v>Григорий</v>
      </c>
      <c r="D426" t="str">
        <f ca="1">IFERROR(__xludf.DUMMYFUNCTION("""COMPUTED_VALUE"""),"Лицей ЭМЛи29")</f>
        <v>Лицей ЭМЛи29</v>
      </c>
      <c r="E426" s="5"/>
      <c r="F426" s="5"/>
      <c r="G426" s="5"/>
      <c r="H426" s="5"/>
      <c r="I426" s="5"/>
      <c r="J426" s="5"/>
      <c r="K426" s="5"/>
      <c r="L426" s="5"/>
      <c r="M426">
        <f ca="1">IFERROR(__xludf.DUMMYFUNCTION("""COMPUTED_VALUE"""),0)</f>
        <v>0</v>
      </c>
      <c r="N426" s="8"/>
    </row>
    <row r="427" spans="1:14" ht="12.45" hidden="1">
      <c r="A427" t="str">
        <f ca="1">IFERROR(__xludf.DUMMYFUNCTION("""COMPUTED_VALUE"""),"V-2-286")</f>
        <v>V-2-286</v>
      </c>
      <c r="B427" t="str">
        <f ca="1">IFERROR(__xludf.DUMMYFUNCTION("""COMPUTED_VALUE"""),"Мирсаетова")</f>
        <v>Мирсаетова</v>
      </c>
      <c r="C427" t="str">
        <f ca="1">IFERROR(__xludf.DUMMYFUNCTION("""COMPUTED_VALUE"""),"Анна")</f>
        <v>Анна</v>
      </c>
      <c r="D427" t="str">
        <f ca="1">IFERROR(__xludf.DUMMYFUNCTION("""COMPUTED_VALUE"""),"Лицей ИЕГЛ ""Школа-30""")</f>
        <v>Лицей ИЕГЛ "Школа-30"</v>
      </c>
      <c r="E427" s="5"/>
      <c r="F427" s="5"/>
      <c r="G427" s="5"/>
      <c r="H427" s="5"/>
      <c r="I427" s="5"/>
      <c r="J427" s="5"/>
      <c r="K427" s="5"/>
      <c r="L427" s="5"/>
      <c r="M427">
        <f ca="1">IFERROR(__xludf.DUMMYFUNCTION("""COMPUTED_VALUE"""),0)</f>
        <v>0</v>
      </c>
      <c r="N427" s="8"/>
    </row>
    <row r="428" spans="1:14" ht="12.45" hidden="1">
      <c r="A428" t="str">
        <f ca="1">IFERROR(__xludf.DUMMYFUNCTION("""COMPUTED_VALUE"""),"III-2-151")</f>
        <v>III-2-151</v>
      </c>
      <c r="B428" t="str">
        <f ca="1">IFERROR(__xludf.DUMMYFUNCTION("""COMPUTED_VALUE"""),"Елизаров")</f>
        <v>Елизаров</v>
      </c>
      <c r="C428" t="str">
        <f ca="1">IFERROR(__xludf.DUMMYFUNCTION("""COMPUTED_VALUE"""),"Иван")</f>
        <v>Иван</v>
      </c>
      <c r="D428" t="str">
        <f ca="1">IFERROR(__xludf.DUMMYFUNCTION("""COMPUTED_VALUE"""),"Гимназия 397")</f>
        <v>Гимназия 397</v>
      </c>
      <c r="E428" s="5"/>
      <c r="F428" s="5"/>
      <c r="G428" s="5"/>
      <c r="H428" s="5"/>
      <c r="I428" s="5"/>
      <c r="J428" s="5"/>
      <c r="K428" s="5"/>
      <c r="L428" s="5"/>
      <c r="M428">
        <f ca="1">IFERROR(__xludf.DUMMYFUNCTION("""COMPUTED_VALUE"""),0)</f>
        <v>0</v>
      </c>
      <c r="N428" s="8"/>
    </row>
    <row r="429" spans="1:14" ht="12.45" hidden="1">
      <c r="A429" t="str">
        <f ca="1">IFERROR(__xludf.DUMMYFUNCTION("""COMPUTED_VALUE"""),"V-2-287")</f>
        <v>V-2-287</v>
      </c>
      <c r="B429" t="str">
        <f ca="1">IFERROR(__xludf.DUMMYFUNCTION("""COMPUTED_VALUE"""),"Михайличенко")</f>
        <v>Михайличенко</v>
      </c>
      <c r="C429" t="str">
        <f ca="1">IFERROR(__xludf.DUMMYFUNCTION("""COMPUTED_VALUE"""),"Лидия")</f>
        <v>Лидия</v>
      </c>
      <c r="D429" t="str">
        <f ca="1">IFERROR(__xludf.DUMMYFUNCTION("""COMPUTED_VALUE"""),"Гимназия 406")</f>
        <v>Гимназия 406</v>
      </c>
      <c r="E429" s="5"/>
      <c r="F429" s="5"/>
      <c r="G429" s="5"/>
      <c r="H429" s="5"/>
      <c r="I429" s="5"/>
      <c r="J429" s="5"/>
      <c r="K429" s="5"/>
      <c r="L429" s="5"/>
      <c r="M429">
        <f ca="1">IFERROR(__xludf.DUMMYFUNCTION("""COMPUTED_VALUE"""),0)</f>
        <v>0</v>
      </c>
      <c r="N429" s="8"/>
    </row>
    <row r="430" spans="1:14" ht="12.45" hidden="1">
      <c r="A430" t="str">
        <f ca="1">IFERROR(__xludf.DUMMYFUNCTION("""COMPUTED_VALUE"""),"III-2-090")</f>
        <v>III-2-090</v>
      </c>
      <c r="B430" t="str">
        <f ca="1">IFERROR(__xludf.DUMMYFUNCTION("""COMPUTED_VALUE"""),"Гарминович")</f>
        <v>Гарминович</v>
      </c>
      <c r="C430" t="str">
        <f ca="1">IFERROR(__xludf.DUMMYFUNCTION("""COMPUTED_VALUE"""),"Анастасия")</f>
        <v>Анастасия</v>
      </c>
      <c r="D430" t="str">
        <f ca="1">IFERROR(__xludf.DUMMYFUNCTION("""COMPUTED_VALUE"""),"Гимназия 406")</f>
        <v>Гимназия 406</v>
      </c>
      <c r="E430" s="5"/>
      <c r="F430" s="5"/>
      <c r="G430" s="5"/>
      <c r="H430" s="5"/>
      <c r="I430" s="5"/>
      <c r="J430" s="5"/>
      <c r="K430" s="5"/>
      <c r="L430" s="5"/>
      <c r="M430">
        <f ca="1">IFERROR(__xludf.DUMMYFUNCTION("""COMPUTED_VALUE"""),0)</f>
        <v>0</v>
      </c>
      <c r="N430" s="8"/>
    </row>
    <row r="431" spans="1:14" ht="12.45" hidden="1">
      <c r="A431" t="str">
        <f ca="1">IFERROR(__xludf.DUMMYFUNCTION("""COMPUTED_VALUE"""),"V-2-310")</f>
        <v>V-2-310</v>
      </c>
      <c r="B431" t="str">
        <f ca="1">IFERROR(__xludf.DUMMYFUNCTION("""COMPUTED_VALUE"""),"Некрашенко")</f>
        <v>Некрашенко</v>
      </c>
      <c r="C431" t="str">
        <f ca="1">IFERROR(__xludf.DUMMYFUNCTION("""COMPUTED_VALUE"""),"Леонид")</f>
        <v>Леонид</v>
      </c>
      <c r="D431" t="str">
        <f ca="1">IFERROR(__xludf.DUMMYFUNCTION("""COMPUTED_VALUE"""),"Гимназия 406")</f>
        <v>Гимназия 406</v>
      </c>
      <c r="E431" s="5"/>
      <c r="F431" s="5"/>
      <c r="G431" s="5"/>
      <c r="H431" s="5"/>
      <c r="I431" s="5"/>
      <c r="J431" s="5"/>
      <c r="K431" s="5"/>
      <c r="L431" s="5"/>
      <c r="M431">
        <f ca="1">IFERROR(__xludf.DUMMYFUNCTION("""COMPUTED_VALUE"""),0)</f>
        <v>0</v>
      </c>
      <c r="N431" s="8"/>
    </row>
    <row r="432" spans="1:14" ht="12.45" hidden="1">
      <c r="A432" t="str">
        <f ca="1">IFERROR(__xludf.DUMMYFUNCTION("""COMPUTED_VALUE"""),"V-2-426")</f>
        <v>V-2-426</v>
      </c>
      <c r="B432" t="str">
        <f ca="1">IFERROR(__xludf.DUMMYFUNCTION("""COMPUTED_VALUE"""),"Тимофеева")</f>
        <v>Тимофеева</v>
      </c>
      <c r="C432" t="str">
        <f ca="1">IFERROR(__xludf.DUMMYFUNCTION("""COMPUTED_VALUE"""),"Дарья")</f>
        <v>Дарья</v>
      </c>
      <c r="D432" t="str">
        <f ca="1">IFERROR(__xludf.DUMMYFUNCTION("""COMPUTED_VALUE"""),"Гимназия 406")</f>
        <v>Гимназия 406</v>
      </c>
      <c r="E432" s="5"/>
      <c r="F432" s="5"/>
      <c r="G432" s="5"/>
      <c r="H432" s="5"/>
      <c r="I432" s="5"/>
      <c r="J432" s="5"/>
      <c r="K432" s="5"/>
      <c r="L432" s="5"/>
      <c r="M432">
        <f ca="1">IFERROR(__xludf.DUMMYFUNCTION("""COMPUTED_VALUE"""),0)</f>
        <v>0</v>
      </c>
      <c r="N432" s="8"/>
    </row>
    <row r="433" spans="1:14" ht="12.45" hidden="1">
      <c r="A433" t="str">
        <f ca="1">IFERROR(__xludf.DUMMYFUNCTION("""COMPUTED_VALUE"""),"V-2-404")</f>
        <v>V-2-404</v>
      </c>
      <c r="B433" t="str">
        <f ca="1">IFERROR(__xludf.DUMMYFUNCTION("""COMPUTED_VALUE"""),"Соколова")</f>
        <v>Соколова</v>
      </c>
      <c r="C433" t="str">
        <f ca="1">IFERROR(__xludf.DUMMYFUNCTION("""COMPUTED_VALUE"""),"Валерия")</f>
        <v>Валерия</v>
      </c>
      <c r="D433" t="str">
        <f ca="1">IFERROR(__xludf.DUMMYFUNCTION("""COMPUTED_VALUE"""),"Гимназия 406")</f>
        <v>Гимназия 406</v>
      </c>
      <c r="E433" s="5"/>
      <c r="F433" s="5"/>
      <c r="G433" s="5"/>
      <c r="H433" s="5"/>
      <c r="I433" s="5"/>
      <c r="J433" s="5"/>
      <c r="K433" s="5"/>
      <c r="L433" s="5"/>
      <c r="M433">
        <f ca="1">IFERROR(__xludf.DUMMYFUNCTION("""COMPUTED_VALUE"""),0)</f>
        <v>0</v>
      </c>
      <c r="N433" s="8"/>
    </row>
    <row r="434" spans="1:14" ht="12.45" hidden="1">
      <c r="A434" t="str">
        <f ca="1">IFERROR(__xludf.DUMMYFUNCTION("""COMPUTED_VALUE"""),"V-2-421")</f>
        <v>V-2-421</v>
      </c>
      <c r="B434" t="str">
        <f ca="1">IFERROR(__xludf.DUMMYFUNCTION("""COMPUTED_VALUE"""),"Сыромля")</f>
        <v>Сыромля</v>
      </c>
      <c r="C434" t="str">
        <f ca="1">IFERROR(__xludf.DUMMYFUNCTION("""COMPUTED_VALUE"""),"Софья")</f>
        <v>Софья</v>
      </c>
      <c r="D434" t="str">
        <f ca="1">IFERROR(__xludf.DUMMYFUNCTION("""COMPUTED_VALUE"""),"Гимназия 406")</f>
        <v>Гимназия 406</v>
      </c>
      <c r="E434" s="5"/>
      <c r="F434" s="5"/>
      <c r="G434" s="5"/>
      <c r="H434" s="5"/>
      <c r="I434" s="5"/>
      <c r="J434" s="5"/>
      <c r="K434" s="5"/>
      <c r="L434" s="5"/>
      <c r="M434">
        <f ca="1">IFERROR(__xludf.DUMMYFUNCTION("""COMPUTED_VALUE"""),0)</f>
        <v>0</v>
      </c>
      <c r="N434" s="8"/>
    </row>
    <row r="435" spans="1:14" ht="12.45" hidden="1">
      <c r="A435" t="str">
        <f ca="1">IFERROR(__xludf.DUMMYFUNCTION("""COMPUTED_VALUE"""),"V-2-471")</f>
        <v>V-2-471</v>
      </c>
      <c r="B435" t="str">
        <f ca="1">IFERROR(__xludf.DUMMYFUNCTION("""COMPUTED_VALUE"""),"Шулько")</f>
        <v>Шулько</v>
      </c>
      <c r="C435" t="str">
        <f ca="1">IFERROR(__xludf.DUMMYFUNCTION("""COMPUTED_VALUE"""),"Иван")</f>
        <v>Иван</v>
      </c>
      <c r="D435" t="str">
        <f ca="1">IFERROR(__xludf.DUMMYFUNCTION("""COMPUTED_VALUE"""),"Гимназия 406")</f>
        <v>Гимназия 406</v>
      </c>
      <c r="E435" s="5"/>
      <c r="F435" s="5"/>
      <c r="G435" s="5"/>
      <c r="H435" s="5"/>
      <c r="I435" s="5"/>
      <c r="J435" s="5"/>
      <c r="K435" s="5"/>
      <c r="L435" s="5"/>
      <c r="M435">
        <f ca="1">IFERROR(__xludf.DUMMYFUNCTION("""COMPUTED_VALUE"""),0)</f>
        <v>0</v>
      </c>
      <c r="N435" s="8"/>
    </row>
    <row r="436" spans="1:14" ht="12.45" hidden="1">
      <c r="A436" t="str">
        <f ca="1">IFERROR(__xludf.DUMMYFUNCTION("""COMPUTED_VALUE"""),"V-2-434")</f>
        <v>V-2-434</v>
      </c>
      <c r="B436" t="str">
        <f ca="1">IFERROR(__xludf.DUMMYFUNCTION("""COMPUTED_VALUE"""),"Урусов")</f>
        <v>Урусов</v>
      </c>
      <c r="C436" t="str">
        <f ca="1">IFERROR(__xludf.DUMMYFUNCTION("""COMPUTED_VALUE"""),"Андрей")</f>
        <v>Андрей</v>
      </c>
      <c r="D436" t="str">
        <f ca="1">IFERROR(__xludf.DUMMYFUNCTION("""COMPUTED_VALUE"""),"Гимназия 166")</f>
        <v>Гимназия 166</v>
      </c>
      <c r="E436" s="5"/>
      <c r="F436" s="5"/>
      <c r="G436" s="5"/>
      <c r="H436" s="5"/>
      <c r="I436" s="5"/>
      <c r="J436" s="5"/>
      <c r="K436" s="5"/>
      <c r="L436" s="5"/>
      <c r="M436">
        <f ca="1">IFERROR(__xludf.DUMMYFUNCTION("""COMPUTED_VALUE"""),0)</f>
        <v>0</v>
      </c>
      <c r="N436" s="8"/>
    </row>
    <row r="437" spans="1:14" ht="12.45" hidden="1">
      <c r="A437" t="str">
        <f ca="1">IFERROR(__xludf.DUMMYFUNCTION("""COMPUTED_VALUE"""),"V-2-373")</f>
        <v>V-2-373</v>
      </c>
      <c r="B437" t="str">
        <f ca="1">IFERROR(__xludf.DUMMYFUNCTION("""COMPUTED_VALUE"""),"Самойлов")</f>
        <v>Самойлов</v>
      </c>
      <c r="C437" t="str">
        <f ca="1">IFERROR(__xludf.DUMMYFUNCTION("""COMPUTED_VALUE"""),"Валерий")</f>
        <v>Валерий</v>
      </c>
      <c r="D437" t="str">
        <f ca="1">IFERROR(__xludf.DUMMYFUNCTION("""COMPUTED_VALUE"""),"Школа 246")</f>
        <v>Школа 246</v>
      </c>
      <c r="E437" s="5"/>
      <c r="F437" s="5"/>
      <c r="G437" s="5"/>
      <c r="H437" s="5"/>
      <c r="I437" s="5"/>
      <c r="J437" s="5"/>
      <c r="K437" s="5"/>
      <c r="L437" s="5"/>
      <c r="M437">
        <f ca="1">IFERROR(__xludf.DUMMYFUNCTION("""COMPUTED_VALUE"""),0)</f>
        <v>0</v>
      </c>
      <c r="N437" s="8"/>
    </row>
    <row r="438" spans="1:14" ht="12.45" hidden="1">
      <c r="A438" t="str">
        <f ca="1">IFERROR(__xludf.DUMMYFUNCTION("""COMPUTED_VALUE"""),"III-2-094")</f>
        <v>III-2-094</v>
      </c>
      <c r="B438" t="str">
        <f ca="1">IFERROR(__xludf.DUMMYFUNCTION("""COMPUTED_VALUE"""),"Гоков")</f>
        <v>Гоков</v>
      </c>
      <c r="C438" t="str">
        <f ca="1">IFERROR(__xludf.DUMMYFUNCTION("""COMPUTED_VALUE"""),"Алексей")</f>
        <v>Алексей</v>
      </c>
      <c r="D438" t="str">
        <f ca="1">IFERROR(__xludf.DUMMYFUNCTION("""COMPUTED_VALUE"""),"Гимназия 441")</f>
        <v>Гимназия 441</v>
      </c>
      <c r="E438" s="5"/>
      <c r="F438" s="5"/>
      <c r="G438" s="5"/>
      <c r="H438" s="5"/>
      <c r="I438" s="5"/>
      <c r="J438" s="5"/>
      <c r="K438" s="5"/>
      <c r="L438" s="5"/>
      <c r="M438">
        <f ca="1">IFERROR(__xludf.DUMMYFUNCTION("""COMPUTED_VALUE"""),0)</f>
        <v>0</v>
      </c>
      <c r="N438" s="8"/>
    </row>
    <row r="439" spans="1:14" ht="12.45" hidden="1">
      <c r="A439" t="str">
        <f ca="1">IFERROR(__xludf.DUMMYFUNCTION("""COMPUTED_VALUE"""),"III-2-197")</f>
        <v>III-2-197</v>
      </c>
      <c r="B439" t="str">
        <f ca="1">IFERROR(__xludf.DUMMYFUNCTION("""COMPUTED_VALUE"""),"Качарава")</f>
        <v>Качарава</v>
      </c>
      <c r="C439" t="str">
        <f ca="1">IFERROR(__xludf.DUMMYFUNCTION("""COMPUTED_VALUE"""),"Давид")</f>
        <v>Давид</v>
      </c>
      <c r="D439" t="str">
        <f ca="1">IFERROR(__xludf.DUMMYFUNCTION("""COMPUTED_VALUE"""),"Школа 12")</f>
        <v>Школа 12</v>
      </c>
      <c r="E439" s="5"/>
      <c r="F439" s="5"/>
      <c r="G439" s="5"/>
      <c r="H439" s="5"/>
      <c r="I439" s="5"/>
      <c r="J439" s="5"/>
      <c r="K439" s="5"/>
      <c r="L439" s="5"/>
      <c r="M439">
        <f ca="1">IFERROR(__xludf.DUMMYFUNCTION("""COMPUTED_VALUE"""),0)</f>
        <v>0</v>
      </c>
      <c r="N439" s="8"/>
    </row>
    <row r="440" spans="1:14" ht="12.45" hidden="1">
      <c r="A440" t="str">
        <f ca="1">IFERROR(__xludf.DUMMYFUNCTION("""COMPUTED_VALUE"""),"III-2-219")</f>
        <v>III-2-219</v>
      </c>
      <c r="B440" t="str">
        <f ca="1">IFERROR(__xludf.DUMMYFUNCTION("""COMPUTED_VALUE"""),"Коновалова")</f>
        <v>Коновалова</v>
      </c>
      <c r="C440" t="str">
        <f ca="1">IFERROR(__xludf.DUMMYFUNCTION("""COMPUTED_VALUE"""),"Мария")</f>
        <v>Мария</v>
      </c>
      <c r="D440" t="str">
        <f ca="1">IFERROR(__xludf.DUMMYFUNCTION("""COMPUTED_VALUE"""),"Школа Школа 12")</f>
        <v>Школа Школа 12</v>
      </c>
      <c r="E440" s="5"/>
      <c r="F440" s="5"/>
      <c r="G440" s="5"/>
      <c r="H440" s="5"/>
      <c r="I440" s="5"/>
      <c r="J440" s="5"/>
      <c r="K440" s="5"/>
      <c r="L440" s="5"/>
      <c r="M440">
        <f ca="1">IFERROR(__xludf.DUMMYFUNCTION("""COMPUTED_VALUE"""),0)</f>
        <v>0</v>
      </c>
      <c r="N440" s="8"/>
    </row>
    <row r="441" spans="1:14" ht="12.45" hidden="1">
      <c r="A441" t="str">
        <f ca="1">IFERROR(__xludf.DUMMYFUNCTION("""COMPUTED_VALUE"""),"V-2-440")</f>
        <v>V-2-440</v>
      </c>
      <c r="B441" t="str">
        <f ca="1">IFERROR(__xludf.DUMMYFUNCTION("""COMPUTED_VALUE"""),"Филатов")</f>
        <v>Филатов</v>
      </c>
      <c r="C441" t="str">
        <f ca="1">IFERROR(__xludf.DUMMYFUNCTION("""COMPUTED_VALUE"""),"Максим")</f>
        <v>Максим</v>
      </c>
      <c r="D441" t="str">
        <f ca="1">IFERROR(__xludf.DUMMYFUNCTION("""COMPUTED_VALUE"""),"Школа 12")</f>
        <v>Школа 12</v>
      </c>
      <c r="E441" s="5"/>
      <c r="F441" s="5"/>
      <c r="G441" s="5"/>
      <c r="H441" s="5"/>
      <c r="I441" s="5"/>
      <c r="J441" s="5"/>
      <c r="K441" s="5"/>
      <c r="L441" s="5"/>
      <c r="M441">
        <f ca="1">IFERROR(__xludf.DUMMYFUNCTION("""COMPUTED_VALUE"""),0)</f>
        <v>0</v>
      </c>
      <c r="N441" s="8"/>
    </row>
    <row r="442" spans="1:14" ht="12.45" hidden="1">
      <c r="A442" t="str">
        <f ca="1">IFERROR(__xludf.DUMMYFUNCTION("""COMPUTED_VALUE"""),"V-2-448")</f>
        <v>V-2-448</v>
      </c>
      <c r="B442" t="str">
        <f ca="1">IFERROR(__xludf.DUMMYFUNCTION("""COMPUTED_VALUE"""),"Фомина")</f>
        <v>Фомина</v>
      </c>
      <c r="C442" t="str">
        <f ca="1">IFERROR(__xludf.DUMMYFUNCTION("""COMPUTED_VALUE"""),"Мария")</f>
        <v>Мария</v>
      </c>
      <c r="D442" t="str">
        <f ca="1">IFERROR(__xludf.DUMMYFUNCTION("""COMPUTED_VALUE"""),"Школа 482")</f>
        <v>Школа 482</v>
      </c>
      <c r="E442" s="5"/>
      <c r="F442" s="5"/>
      <c r="G442" s="5"/>
      <c r="H442" s="5"/>
      <c r="I442" s="5"/>
      <c r="J442" s="5"/>
      <c r="K442" s="5"/>
      <c r="L442" s="5"/>
      <c r="M442">
        <f ca="1">IFERROR(__xludf.DUMMYFUNCTION("""COMPUTED_VALUE"""),0)</f>
        <v>0</v>
      </c>
      <c r="N442" s="8"/>
    </row>
    <row r="443" spans="1:14" ht="12.45" hidden="1">
      <c r="A443" t="str">
        <f ca="1">IFERROR(__xludf.DUMMYFUNCTION("""COMPUTED_VALUE"""),"III-2-193")</f>
        <v>III-2-193</v>
      </c>
      <c r="B443" t="str">
        <f ca="1">IFERROR(__xludf.DUMMYFUNCTION("""COMPUTED_VALUE"""),"Карпухин")</f>
        <v>Карпухин</v>
      </c>
      <c r="C443" t="str">
        <f ca="1">IFERROR(__xludf.DUMMYFUNCTION("""COMPUTED_VALUE"""),"Артемий")</f>
        <v>Артемий</v>
      </c>
      <c r="D443" t="str">
        <f ca="1">IFERROR(__xludf.DUMMYFUNCTION("""COMPUTED_VALUE"""),"Школа 643")</f>
        <v>Школа 643</v>
      </c>
      <c r="E443" s="5"/>
      <c r="F443" s="5"/>
      <c r="G443" s="5"/>
      <c r="H443" s="5"/>
      <c r="I443" s="5"/>
      <c r="J443" s="5"/>
      <c r="K443" s="5"/>
      <c r="L443" s="5"/>
      <c r="M443">
        <f ca="1">IFERROR(__xludf.DUMMYFUNCTION("""COMPUTED_VALUE"""),0)</f>
        <v>0</v>
      </c>
      <c r="N443" s="8"/>
    </row>
    <row r="444" spans="1:14" ht="12.45" hidden="1">
      <c r="A444" t="str">
        <f ca="1">IFERROR(__xludf.DUMMYFUNCTION("""COMPUTED_VALUE"""),"V-2-375")</f>
        <v>V-2-375</v>
      </c>
      <c r="B444" t="str">
        <f ca="1">IFERROR(__xludf.DUMMYFUNCTION("""COMPUTED_VALUE"""),"Сафиуллина")</f>
        <v>Сафиуллина</v>
      </c>
      <c r="C444" t="str">
        <f ca="1">IFERROR(__xludf.DUMMYFUNCTION("""COMPUTED_VALUE"""),"Ульяна")</f>
        <v>Ульяна</v>
      </c>
      <c r="D444" t="str">
        <f ca="1">IFERROR(__xludf.DUMMYFUNCTION("""COMPUTED_VALUE"""),"Школа 78")</f>
        <v>Школа 78</v>
      </c>
      <c r="E444" s="5"/>
      <c r="F444" s="5"/>
      <c r="G444" s="5"/>
      <c r="H444" s="5"/>
      <c r="I444" s="5"/>
      <c r="J444" s="5"/>
      <c r="K444" s="5"/>
      <c r="L444" s="5"/>
      <c r="M444">
        <f ca="1">IFERROR(__xludf.DUMMYFUNCTION("""COMPUTED_VALUE"""),0)</f>
        <v>0</v>
      </c>
      <c r="N444" s="8"/>
    </row>
    <row r="445" spans="1:14" ht="12.45" hidden="1">
      <c r="A445" t="str">
        <f ca="1">IFERROR(__xludf.DUMMYFUNCTION("""COMPUTED_VALUE"""),"V-2-445")</f>
        <v>V-2-445</v>
      </c>
      <c r="B445" t="str">
        <f ca="1">IFERROR(__xludf.DUMMYFUNCTION("""COMPUTED_VALUE"""),"Фогельсон")</f>
        <v>Фогельсон</v>
      </c>
      <c r="C445" t="str">
        <f ca="1">IFERROR(__xludf.DUMMYFUNCTION("""COMPUTED_VALUE"""),"Софья")</f>
        <v>Софья</v>
      </c>
      <c r="D445" t="str">
        <f ca="1">IFERROR(__xludf.DUMMYFUNCTION("""COMPUTED_VALUE"""),"Гимназия 406")</f>
        <v>Гимназия 406</v>
      </c>
      <c r="E445" s="5"/>
      <c r="F445" s="5"/>
      <c r="G445" s="5"/>
      <c r="H445" s="5"/>
      <c r="I445" s="5"/>
      <c r="J445" s="5"/>
      <c r="K445" s="5"/>
      <c r="L445" s="5"/>
      <c r="M445">
        <f ca="1">IFERROR(__xludf.DUMMYFUNCTION("""COMPUTED_VALUE"""),0)</f>
        <v>0</v>
      </c>
      <c r="N445" s="8"/>
    </row>
    <row r="446" spans="1:14" ht="12.45" hidden="1">
      <c r="A446" t="str">
        <f ca="1">IFERROR(__xludf.DUMMYFUNCTION("""COMPUTED_VALUE"""),"V-2-464")</f>
        <v>V-2-464</v>
      </c>
      <c r="B446" t="str">
        <f ca="1">IFERROR(__xludf.DUMMYFUNCTION("""COMPUTED_VALUE"""),"Шиколенко")</f>
        <v>Шиколенко</v>
      </c>
      <c r="C446" t="str">
        <f ca="1">IFERROR(__xludf.DUMMYFUNCTION("""COMPUTED_VALUE"""),"Тимофей")</f>
        <v>Тимофей</v>
      </c>
      <c r="D446" t="str">
        <f ca="1">IFERROR(__xludf.DUMMYFUNCTION("""COMPUTED_VALUE"""),"Школа 9")</f>
        <v>Школа 9</v>
      </c>
      <c r="E446" s="5"/>
      <c r="F446" s="5"/>
      <c r="G446" s="5"/>
      <c r="H446" s="5"/>
      <c r="I446" s="5"/>
      <c r="J446" s="5"/>
      <c r="K446" s="5"/>
      <c r="L446" s="5"/>
      <c r="M446">
        <f ca="1">IFERROR(__xludf.DUMMYFUNCTION("""COMPUTED_VALUE"""),0)</f>
        <v>0</v>
      </c>
      <c r="N446" s="8"/>
    </row>
    <row r="447" spans="1:14" ht="12.45" hidden="1">
      <c r="A447" t="str">
        <f ca="1">IFERROR(__xludf.DUMMYFUNCTION("""COMPUTED_VALUE"""),"III-2-016")</f>
        <v>III-2-016</v>
      </c>
      <c r="B447" t="str">
        <f ca="1">IFERROR(__xludf.DUMMYFUNCTION("""COMPUTED_VALUE"""),"Анашкина")</f>
        <v>Анашкина</v>
      </c>
      <c r="C447" t="str">
        <f ca="1">IFERROR(__xludf.DUMMYFUNCTION("""COMPUTED_VALUE"""),"Елизавета")</f>
        <v>Елизавета</v>
      </c>
      <c r="D447" t="str">
        <f ca="1">IFERROR(__xludf.DUMMYFUNCTION("""COMPUTED_VALUE"""),"Школа Школы 9 им. А. С. Пушкина")</f>
        <v>Школа Школы 9 им. А. С. Пушкина</v>
      </c>
      <c r="E447" s="5"/>
      <c r="F447" s="5"/>
      <c r="G447" s="5"/>
      <c r="H447" s="5"/>
      <c r="I447" s="5"/>
      <c r="J447" s="5"/>
      <c r="K447" s="5"/>
      <c r="L447" s="5"/>
      <c r="M447">
        <f ca="1">IFERROR(__xludf.DUMMYFUNCTION("""COMPUTED_VALUE"""),0)</f>
        <v>0</v>
      </c>
      <c r="N447" s="8"/>
    </row>
    <row r="448" spans="1:14" ht="12.45" hidden="1">
      <c r="A448" t="str">
        <f ca="1">IFERROR(__xludf.DUMMYFUNCTION("""COMPUTED_VALUE"""),"III-2-118")</f>
        <v>III-2-118</v>
      </c>
      <c r="B448" t="str">
        <f ca="1">IFERROR(__xludf.DUMMYFUNCTION("""COMPUTED_VALUE"""),"Груздев")</f>
        <v>Груздев</v>
      </c>
      <c r="C448" t="str">
        <f ca="1">IFERROR(__xludf.DUMMYFUNCTION("""COMPUTED_VALUE"""),"Егор")</f>
        <v>Егор</v>
      </c>
      <c r="D448" t="str">
        <f ca="1">IFERROR(__xludf.DUMMYFUNCTION("""COMPUTED_VALUE"""),"Лицей 410")</f>
        <v>Лицей 410</v>
      </c>
      <c r="E448" s="5"/>
      <c r="F448" s="5"/>
      <c r="G448" s="5"/>
      <c r="H448" s="5"/>
      <c r="I448" s="5"/>
      <c r="J448" s="5"/>
      <c r="K448" s="5"/>
      <c r="L448" s="5"/>
      <c r="M448">
        <f ca="1">IFERROR(__xludf.DUMMYFUNCTION("""COMPUTED_VALUE"""),0)</f>
        <v>0</v>
      </c>
      <c r="N448" s="8"/>
    </row>
    <row r="449" spans="1:14" ht="12.45" hidden="1">
      <c r="A449" t="str">
        <f ca="1">IFERROR(__xludf.DUMMYFUNCTION("""COMPUTED_VALUE"""),"V-2-467")</f>
        <v>V-2-467</v>
      </c>
      <c r="B449" t="str">
        <f ca="1">IFERROR(__xludf.DUMMYFUNCTION("""COMPUTED_VALUE"""),"Ширшов")</f>
        <v>Ширшов</v>
      </c>
      <c r="C449" t="str">
        <f ca="1">IFERROR(__xludf.DUMMYFUNCTION("""COMPUTED_VALUE"""),"Александр")</f>
        <v>Александр</v>
      </c>
      <c r="D449" t="str">
        <f ca="1">IFERROR(__xludf.DUMMYFUNCTION("""COMPUTED_VALUE"""),"Лицей 410")</f>
        <v>Лицей 410</v>
      </c>
      <c r="E449" s="5"/>
      <c r="F449" s="5"/>
      <c r="G449" s="5"/>
      <c r="H449" s="5"/>
      <c r="I449" s="5"/>
      <c r="J449" s="5"/>
      <c r="K449" s="5"/>
      <c r="L449" s="5"/>
      <c r="M449">
        <f ca="1">IFERROR(__xludf.DUMMYFUNCTION("""COMPUTED_VALUE"""),0)</f>
        <v>0</v>
      </c>
      <c r="N449" s="8"/>
    </row>
    <row r="450" spans="1:14" ht="12.45" hidden="1">
      <c r="A450" t="str">
        <f ca="1">IFERROR(__xludf.DUMMYFUNCTION("""COMPUTED_VALUE"""),"III-2-184")</f>
        <v>III-2-184</v>
      </c>
      <c r="B450" t="str">
        <f ca="1">IFERROR(__xludf.DUMMYFUNCTION("""COMPUTED_VALUE"""),"Истринская")</f>
        <v>Истринская</v>
      </c>
      <c r="C450" t="str">
        <f ca="1">IFERROR(__xludf.DUMMYFUNCTION("""COMPUTED_VALUE"""),"Маргарита")</f>
        <v>Маргарита</v>
      </c>
      <c r="D450" t="str">
        <f ca="1">IFERROR(__xludf.DUMMYFUNCTION("""COMPUTED_VALUE"""),"Школа 296")</f>
        <v>Школа 296</v>
      </c>
      <c r="E450" s="5"/>
      <c r="F450" s="5"/>
      <c r="G450" s="5"/>
      <c r="H450" s="5"/>
      <c r="I450" s="5"/>
      <c r="J450" s="5"/>
      <c r="K450" s="5"/>
      <c r="L450" s="5"/>
      <c r="M450">
        <f ca="1">IFERROR(__xludf.DUMMYFUNCTION("""COMPUTED_VALUE"""),0)</f>
        <v>0</v>
      </c>
      <c r="N450" s="8"/>
    </row>
    <row r="451" spans="1:14" ht="12.45" hidden="1">
      <c r="A451" t="str">
        <f ca="1">IFERROR(__xludf.DUMMYFUNCTION("""COMPUTED_VALUE"""),"III-2-230")</f>
        <v>III-2-230</v>
      </c>
      <c r="B451" t="str">
        <f ca="1">IFERROR(__xludf.DUMMYFUNCTION("""COMPUTED_VALUE"""),"Кудряшов")</f>
        <v>Кудряшов</v>
      </c>
      <c r="C451" t="str">
        <f ca="1">IFERROR(__xludf.DUMMYFUNCTION("""COMPUTED_VALUE"""),"Артем")</f>
        <v>Артем</v>
      </c>
      <c r="D451" t="str">
        <f ca="1">IFERROR(__xludf.DUMMYFUNCTION("""COMPUTED_VALUE"""),"Лицей 369")</f>
        <v>Лицей 369</v>
      </c>
      <c r="E451" s="5"/>
      <c r="F451" s="5"/>
      <c r="G451" s="5"/>
      <c r="H451" s="5"/>
      <c r="I451" s="5"/>
      <c r="J451" s="5"/>
      <c r="K451" s="5"/>
      <c r="L451" s="5"/>
      <c r="M451">
        <f ca="1">IFERROR(__xludf.DUMMYFUNCTION("""COMPUTED_VALUE"""),0)</f>
        <v>0</v>
      </c>
      <c r="N451" s="8"/>
    </row>
    <row r="452" spans="1:14" ht="12.45" hidden="1">
      <c r="A452" t="str">
        <f ca="1">IFERROR(__xludf.DUMMYFUNCTION("""COMPUTED_VALUE"""),"III-2-156")</f>
        <v>III-2-156</v>
      </c>
      <c r="B452" t="str">
        <f ca="1">IFERROR(__xludf.DUMMYFUNCTION("""COMPUTED_VALUE"""),"Жаднов")</f>
        <v>Жаднов</v>
      </c>
      <c r="C452" t="str">
        <f ca="1">IFERROR(__xludf.DUMMYFUNCTION("""COMPUTED_VALUE"""),"Матвей")</f>
        <v>Матвей</v>
      </c>
      <c r="D452" t="str">
        <f ca="1">IFERROR(__xludf.DUMMYFUNCTION("""COMPUTED_VALUE"""),"Школа 232")</f>
        <v>Школа 232</v>
      </c>
      <c r="E452" s="5"/>
      <c r="F452" s="5"/>
      <c r="G452" s="5"/>
      <c r="H452" s="5"/>
      <c r="I452" s="5"/>
      <c r="J452" s="5"/>
      <c r="K452" s="5"/>
      <c r="L452" s="5"/>
      <c r="M452">
        <f ca="1">IFERROR(__xludf.DUMMYFUNCTION("""COMPUTED_VALUE"""),0)</f>
        <v>0</v>
      </c>
      <c r="N452" s="8"/>
    </row>
    <row r="453" spans="1:14" ht="12.45" hidden="1">
      <c r="A453" t="str">
        <f ca="1">IFERROR(__xludf.DUMMYFUNCTION("""COMPUTED_VALUE"""),"III-2-081")</f>
        <v>III-2-081</v>
      </c>
      <c r="B453" t="str">
        <f ca="1">IFERROR(__xludf.DUMMYFUNCTION("""COMPUTED_VALUE"""),"Воробьева")</f>
        <v>Воробьева</v>
      </c>
      <c r="C453" t="str">
        <f ca="1">IFERROR(__xludf.DUMMYFUNCTION("""COMPUTED_VALUE"""),"Виктория")</f>
        <v>Виктория</v>
      </c>
      <c r="D453" t="str">
        <f ca="1">IFERROR(__xludf.DUMMYFUNCTION("""COMPUTED_VALUE"""),"Гимназия 92")</f>
        <v>Гимназия 92</v>
      </c>
      <c r="E453" s="5"/>
      <c r="F453" s="5"/>
      <c r="G453" s="5"/>
      <c r="H453" s="5"/>
      <c r="I453" s="5"/>
      <c r="J453" s="5"/>
      <c r="K453" s="5"/>
      <c r="L453" s="5"/>
      <c r="M453">
        <f ca="1">IFERROR(__xludf.DUMMYFUNCTION("""COMPUTED_VALUE"""),0)</f>
        <v>0</v>
      </c>
      <c r="N453" s="8"/>
    </row>
    <row r="454" spans="1:14" ht="12.45" hidden="1">
      <c r="A454" t="str">
        <f ca="1">IFERROR(__xludf.DUMMYFUNCTION("""COMPUTED_VALUE"""),"III-2-052")</f>
        <v>III-2-052</v>
      </c>
      <c r="B454" t="str">
        <f ca="1">IFERROR(__xludf.DUMMYFUNCTION("""COMPUTED_VALUE"""),"Богданова")</f>
        <v>Богданова</v>
      </c>
      <c r="C454" t="str">
        <f ca="1">IFERROR(__xludf.DUMMYFUNCTION("""COMPUTED_VALUE"""),"Екатерина")</f>
        <v>Екатерина</v>
      </c>
      <c r="D454" t="str">
        <f ca="1">IFERROR(__xludf.DUMMYFUNCTION("""COMPUTED_VALUE"""),"Лицей 369")</f>
        <v>Лицей 369</v>
      </c>
      <c r="E454" s="5"/>
      <c r="F454" s="5"/>
      <c r="G454" s="5"/>
      <c r="H454" s="5"/>
      <c r="I454" s="5"/>
      <c r="J454" s="5"/>
      <c r="K454" s="5"/>
      <c r="L454" s="5"/>
      <c r="M454">
        <f ca="1">IFERROR(__xludf.DUMMYFUNCTION("""COMPUTED_VALUE"""),0)</f>
        <v>0</v>
      </c>
      <c r="N454" s="8"/>
    </row>
    <row r="455" spans="1:14" ht="12.45" hidden="1">
      <c r="A455" t="str">
        <f ca="1">IFERROR(__xludf.DUMMYFUNCTION("""COMPUTED_VALUE"""),"V-2-442")</f>
        <v>V-2-442</v>
      </c>
      <c r="B455" t="str">
        <f ca="1">IFERROR(__xludf.DUMMYFUNCTION("""COMPUTED_VALUE"""),"Филипенкова")</f>
        <v>Филипенкова</v>
      </c>
      <c r="C455" t="str">
        <f ca="1">IFERROR(__xludf.DUMMYFUNCTION("""COMPUTED_VALUE"""),"Александра")</f>
        <v>Александра</v>
      </c>
      <c r="D455" t="str">
        <f ca="1">IFERROR(__xludf.DUMMYFUNCTION("""COMPUTED_VALUE"""),"Лицей 369")</f>
        <v>Лицей 369</v>
      </c>
      <c r="E455" s="5"/>
      <c r="F455" s="5"/>
      <c r="G455" s="5"/>
      <c r="H455" s="5"/>
      <c r="I455" s="5"/>
      <c r="J455" s="5"/>
      <c r="K455" s="5"/>
      <c r="L455" s="5"/>
      <c r="M455">
        <f ca="1">IFERROR(__xludf.DUMMYFUNCTION("""COMPUTED_VALUE"""),0)</f>
        <v>0</v>
      </c>
      <c r="N455" s="8"/>
    </row>
    <row r="456" spans="1:14" ht="12.45" hidden="1">
      <c r="A456" t="str">
        <f ca="1">IFERROR(__xludf.DUMMYFUNCTION("""COMPUTED_VALUE"""),"III-2-134")</f>
        <v>III-2-134</v>
      </c>
      <c r="B456" t="str">
        <f ca="1">IFERROR(__xludf.DUMMYFUNCTION("""COMPUTED_VALUE"""),"Домбровский")</f>
        <v>Домбровский</v>
      </c>
      <c r="C456" t="str">
        <f ca="1">IFERROR(__xludf.DUMMYFUNCTION("""COMPUTED_VALUE"""),"Дмитрий")</f>
        <v>Дмитрий</v>
      </c>
      <c r="D456" t="str">
        <f ca="1">IFERROR(__xludf.DUMMYFUNCTION("""COMPUTED_VALUE"""),"Лицей 369")</f>
        <v>Лицей 369</v>
      </c>
      <c r="E456" s="5"/>
      <c r="F456" s="5"/>
      <c r="G456" s="5"/>
      <c r="H456" s="5"/>
      <c r="I456" s="5"/>
      <c r="J456" s="5"/>
      <c r="K456" s="5"/>
      <c r="L456" s="5"/>
      <c r="M456">
        <f ca="1">IFERROR(__xludf.DUMMYFUNCTION("""COMPUTED_VALUE"""),0)</f>
        <v>0</v>
      </c>
      <c r="N456" s="8"/>
    </row>
    <row r="457" spans="1:14" ht="12.45" hidden="1">
      <c r="A457" t="str">
        <f ca="1">IFERROR(__xludf.DUMMYFUNCTION("""COMPUTED_VALUE"""),"V-2-441")</f>
        <v>V-2-441</v>
      </c>
      <c r="B457" t="str">
        <f ca="1">IFERROR(__xludf.DUMMYFUNCTION("""COMPUTED_VALUE"""),"Филин")</f>
        <v>Филин</v>
      </c>
      <c r="C457" t="str">
        <f ca="1">IFERROR(__xludf.DUMMYFUNCTION("""COMPUTED_VALUE"""),"Владимир")</f>
        <v>Владимир</v>
      </c>
      <c r="D457" t="str">
        <f ca="1">IFERROR(__xludf.DUMMYFUNCTION("""COMPUTED_VALUE"""),"Школа Кружок")</f>
        <v>Школа Кружок</v>
      </c>
      <c r="E457" s="5"/>
      <c r="F457" s="5"/>
      <c r="G457" s="5"/>
      <c r="H457" s="5"/>
      <c r="I457" s="5"/>
      <c r="J457" s="5"/>
      <c r="K457" s="5"/>
      <c r="L457" s="5"/>
      <c r="M457">
        <f ca="1">IFERROR(__xludf.DUMMYFUNCTION("""COMPUTED_VALUE"""),0)</f>
        <v>0</v>
      </c>
      <c r="N457" s="8"/>
    </row>
    <row r="458" spans="1:14" ht="12.45" hidden="1">
      <c r="A458" t="str">
        <f ca="1">IFERROR(__xludf.DUMMYFUNCTION("""COMPUTED_VALUE"""),"V-2-429")</f>
        <v>V-2-429</v>
      </c>
      <c r="B458" t="str">
        <f ca="1">IFERROR(__xludf.DUMMYFUNCTION("""COMPUTED_VALUE"""),"Тюрина")</f>
        <v>Тюрина</v>
      </c>
      <c r="C458" t="str">
        <f ca="1">IFERROR(__xludf.DUMMYFUNCTION("""COMPUTED_VALUE"""),"Полина")</f>
        <v>Полина</v>
      </c>
      <c r="D458" t="str">
        <f ca="1">IFERROR(__xludf.DUMMYFUNCTION("""COMPUTED_VALUE"""),"Школа 156")</f>
        <v>Школа 156</v>
      </c>
      <c r="E458" s="5"/>
      <c r="F458" s="5"/>
      <c r="G458" s="5"/>
      <c r="H458" s="5"/>
      <c r="I458" s="5"/>
      <c r="J458" s="5"/>
      <c r="K458" s="5"/>
      <c r="L458" s="5"/>
      <c r="M458">
        <f ca="1">IFERROR(__xludf.DUMMYFUNCTION("""COMPUTED_VALUE"""),0)</f>
        <v>0</v>
      </c>
      <c r="N458" s="8"/>
    </row>
    <row r="459" spans="1:14" ht="12.45" hidden="1">
      <c r="A459" t="str">
        <f ca="1">IFERROR(__xludf.DUMMYFUNCTION("""COMPUTED_VALUE"""),"V-2-391")</f>
        <v>V-2-391</v>
      </c>
      <c r="B459" t="str">
        <f ca="1">IFERROR(__xludf.DUMMYFUNCTION("""COMPUTED_VALUE"""),"Симков")</f>
        <v>Симков</v>
      </c>
      <c r="C459" t="str">
        <f ca="1">IFERROR(__xludf.DUMMYFUNCTION("""COMPUTED_VALUE"""),"Петр")</f>
        <v>Петр</v>
      </c>
      <c r="D459" t="str">
        <f ca="1">IFERROR(__xludf.DUMMYFUNCTION("""COMPUTED_VALUE"""),"Школа 358")</f>
        <v>Школа 358</v>
      </c>
      <c r="E459" s="5"/>
      <c r="F459" s="5"/>
      <c r="G459" s="5"/>
      <c r="H459" s="5"/>
      <c r="I459" s="5"/>
      <c r="J459" s="5"/>
      <c r="K459" s="5"/>
      <c r="L459" s="5"/>
      <c r="M459">
        <f ca="1">IFERROR(__xludf.DUMMYFUNCTION("""COMPUTED_VALUE"""),0)</f>
        <v>0</v>
      </c>
      <c r="N459" s="8"/>
    </row>
    <row r="460" spans="1:14" ht="12.45" hidden="1">
      <c r="A460" t="str">
        <f ca="1">IFERROR(__xludf.DUMMYFUNCTION("""COMPUTED_VALUE"""),"V-2-296")</f>
        <v>V-2-296</v>
      </c>
      <c r="B460" t="str">
        <f ca="1">IFERROR(__xludf.DUMMYFUNCTION("""COMPUTED_VALUE"""),"Москвичева")</f>
        <v>Москвичева</v>
      </c>
      <c r="C460" t="str">
        <f ca="1">IFERROR(__xludf.DUMMYFUNCTION("""COMPUTED_VALUE"""),"Виктория")</f>
        <v>Виктория</v>
      </c>
      <c r="D460" t="str">
        <f ca="1">IFERROR(__xludf.DUMMYFUNCTION("""COMPUTED_VALUE"""),"Школа 435")</f>
        <v>Школа 435</v>
      </c>
      <c r="E460" s="5"/>
      <c r="F460" s="5"/>
      <c r="G460" s="5"/>
      <c r="H460" s="5"/>
      <c r="I460" s="5"/>
      <c r="J460" s="5"/>
      <c r="K460" s="5"/>
      <c r="L460" s="5"/>
      <c r="M460">
        <f ca="1">IFERROR(__xludf.DUMMYFUNCTION("""COMPUTED_VALUE"""),0)</f>
        <v>0</v>
      </c>
      <c r="N460" s="8"/>
    </row>
    <row r="461" spans="1:14" ht="12.45" hidden="1">
      <c r="A461" t="str">
        <f ca="1">IFERROR(__xludf.DUMMYFUNCTION("""COMPUTED_VALUE"""),"V-2-472")</f>
        <v>V-2-472</v>
      </c>
      <c r="B461" t="str">
        <f ca="1">IFERROR(__xludf.DUMMYFUNCTION("""COMPUTED_VALUE"""),"Шуневич")</f>
        <v>Шуневич</v>
      </c>
      <c r="C461" t="str">
        <f ca="1">IFERROR(__xludf.DUMMYFUNCTION("""COMPUTED_VALUE"""),"Дарья")</f>
        <v>Дарья</v>
      </c>
      <c r="D461" t="str">
        <f ca="1">IFERROR(__xludf.DUMMYFUNCTION("""COMPUTED_VALUE"""),"Гимназия Академическая гимназия 56")</f>
        <v>Гимназия Академическая гимназия 56</v>
      </c>
      <c r="E461" s="5"/>
      <c r="F461" s="5"/>
      <c r="G461" s="5"/>
      <c r="H461" s="5"/>
      <c r="I461" s="5"/>
      <c r="J461" s="5"/>
      <c r="K461" s="5"/>
      <c r="L461" s="5"/>
      <c r="M461">
        <f ca="1">IFERROR(__xludf.DUMMYFUNCTION("""COMPUTED_VALUE"""),0)</f>
        <v>0</v>
      </c>
      <c r="N461" s="8"/>
    </row>
    <row r="462" spans="1:14" ht="12.45" hidden="1">
      <c r="A462" t="str">
        <f ca="1">IFERROR(__xludf.DUMMYFUNCTION("""COMPUTED_VALUE"""),"III-2-079")</f>
        <v>III-2-079</v>
      </c>
      <c r="B462" t="str">
        <f ca="1">IFERROR(__xludf.DUMMYFUNCTION("""COMPUTED_VALUE"""),"Волокитин")</f>
        <v>Волокитин</v>
      </c>
      <c r="C462" t="str">
        <f ca="1">IFERROR(__xludf.DUMMYFUNCTION("""COMPUTED_VALUE"""),"Роман")</f>
        <v>Роман</v>
      </c>
      <c r="D462" t="str">
        <f ca="1">IFERROR(__xludf.DUMMYFUNCTION("""COMPUTED_VALUE"""),"Гимназия 642")</f>
        <v>Гимназия 642</v>
      </c>
      <c r="E462" s="5"/>
      <c r="F462" s="5"/>
      <c r="G462" s="5"/>
      <c r="H462" s="5"/>
      <c r="I462" s="5"/>
      <c r="J462" s="5"/>
      <c r="K462" s="5"/>
      <c r="L462" s="5"/>
      <c r="M462">
        <f ca="1">IFERROR(__xludf.DUMMYFUNCTION("""COMPUTED_VALUE"""),0)</f>
        <v>0</v>
      </c>
      <c r="N462" s="8"/>
    </row>
    <row r="463" spans="1:14" ht="12.45" hidden="1">
      <c r="A463" t="str">
        <f ca="1">IFERROR(__xludf.DUMMYFUNCTION("""COMPUTED_VALUE"""),"V-2-462")</f>
        <v>V-2-462</v>
      </c>
      <c r="B463" t="str">
        <f ca="1">IFERROR(__xludf.DUMMYFUNCTION("""COMPUTED_VALUE"""),"Шаулова")</f>
        <v>Шаулова</v>
      </c>
      <c r="C463" t="str">
        <f ca="1">IFERROR(__xludf.DUMMYFUNCTION("""COMPUTED_VALUE"""),"Софья")</f>
        <v>Софья</v>
      </c>
      <c r="D463" t="str">
        <f ca="1">IFERROR(__xludf.DUMMYFUNCTION("""COMPUTED_VALUE"""),"Гимназия гимназия 93")</f>
        <v>Гимназия гимназия 93</v>
      </c>
      <c r="E463" s="5"/>
      <c r="F463" s="5"/>
      <c r="G463" s="5"/>
      <c r="H463" s="5"/>
      <c r="I463" s="5"/>
      <c r="J463" s="5"/>
      <c r="K463" s="5"/>
      <c r="L463" s="5"/>
      <c r="M463">
        <f ca="1">IFERROR(__xludf.DUMMYFUNCTION("""COMPUTED_VALUE"""),0)</f>
        <v>0</v>
      </c>
      <c r="N463" s="8"/>
    </row>
    <row r="464" spans="1:14" ht="12.45" hidden="1">
      <c r="A464" t="str">
        <f ca="1">IFERROR(__xludf.DUMMYFUNCTION("""COMPUTED_VALUE"""),"III-2-033")</f>
        <v>III-2-033</v>
      </c>
      <c r="B464" t="str">
        <f ca="1">IFERROR(__xludf.DUMMYFUNCTION("""COMPUTED_VALUE"""),"Бадрисламов")</f>
        <v>Бадрисламов</v>
      </c>
      <c r="C464" t="str">
        <f ca="1">IFERROR(__xludf.DUMMYFUNCTION("""COMPUTED_VALUE"""),"Амир")</f>
        <v>Амир</v>
      </c>
      <c r="D464" t="str">
        <f ca="1">IFERROR(__xludf.DUMMYFUNCTION("""COMPUTED_VALUE"""),"Гимназия гимназия 93")</f>
        <v>Гимназия гимназия 93</v>
      </c>
      <c r="E464" s="5"/>
      <c r="F464" s="5"/>
      <c r="G464" s="5"/>
      <c r="H464" s="5"/>
      <c r="I464" s="5"/>
      <c r="J464" s="5"/>
      <c r="K464" s="5"/>
      <c r="L464" s="5"/>
      <c r="M464">
        <f ca="1">IFERROR(__xludf.DUMMYFUNCTION("""COMPUTED_VALUE"""),0)</f>
        <v>0</v>
      </c>
      <c r="N464" s="8"/>
    </row>
    <row r="465" spans="1:14" ht="12.45" hidden="1">
      <c r="A465" t="str">
        <f ca="1">IFERROR(__xludf.DUMMYFUNCTION("""COMPUTED_VALUE"""),"III-2-149")</f>
        <v>III-2-149</v>
      </c>
      <c r="B465" t="str">
        <f ca="1">IFERROR(__xludf.DUMMYFUNCTION("""COMPUTED_VALUE"""),"Егоров")</f>
        <v>Егоров</v>
      </c>
      <c r="C465" t="str">
        <f ca="1">IFERROR(__xludf.DUMMYFUNCTION("""COMPUTED_VALUE"""),"Роман")</f>
        <v>Роман</v>
      </c>
      <c r="D465" t="str">
        <f ca="1">IFERROR(__xludf.DUMMYFUNCTION("""COMPUTED_VALUE"""),"Гимназия 93")</f>
        <v>Гимназия 93</v>
      </c>
      <c r="E465" s="5"/>
      <c r="F465" s="5"/>
      <c r="G465" s="5"/>
      <c r="H465" s="5"/>
      <c r="I465" s="5"/>
      <c r="J465" s="5"/>
      <c r="K465" s="5"/>
      <c r="L465" s="5"/>
      <c r="M465">
        <f ca="1">IFERROR(__xludf.DUMMYFUNCTION("""COMPUTED_VALUE"""),0)</f>
        <v>0</v>
      </c>
      <c r="N465" s="8"/>
    </row>
    <row r="466" spans="1:14" ht="12.45" hidden="1">
      <c r="A466" t="str">
        <f ca="1">IFERROR(__xludf.DUMMYFUNCTION("""COMPUTED_VALUE"""),"III-2-078")</f>
        <v>III-2-078</v>
      </c>
      <c r="B466" t="str">
        <f ca="1">IFERROR(__xludf.DUMMYFUNCTION("""COMPUTED_VALUE"""),"Володин")</f>
        <v>Володин</v>
      </c>
      <c r="C466" t="str">
        <f ca="1">IFERROR(__xludf.DUMMYFUNCTION("""COMPUTED_VALUE"""),"Федор")</f>
        <v>Федор</v>
      </c>
      <c r="D466" t="str">
        <f ca="1">IFERROR(__xludf.DUMMYFUNCTION("""COMPUTED_VALUE"""),"Школа ЦОДИВ")</f>
        <v>Школа ЦОДИВ</v>
      </c>
      <c r="E466" s="5"/>
      <c r="F466" s="5"/>
      <c r="G466" s="5"/>
      <c r="H466" s="5"/>
      <c r="I466" s="5"/>
      <c r="J466" s="5"/>
      <c r="K466" s="5"/>
      <c r="L466" s="5"/>
      <c r="M466">
        <f ca="1">IFERROR(__xludf.DUMMYFUNCTION("""COMPUTED_VALUE"""),0)</f>
        <v>0</v>
      </c>
      <c r="N466" s="8"/>
    </row>
    <row r="467" spans="1:14" ht="12.45" hidden="1">
      <c r="A467" t="str">
        <f ca="1">IFERROR(__xludf.DUMMYFUNCTION("""COMPUTED_VALUE"""),"III-2-018")</f>
        <v>III-2-018</v>
      </c>
      <c r="B467" t="str">
        <f ca="1">IFERROR(__xludf.DUMMYFUNCTION("""COMPUTED_VALUE"""),"Андреева")</f>
        <v>Андреева</v>
      </c>
      <c r="C467" t="str">
        <f ca="1">IFERROR(__xludf.DUMMYFUNCTION("""COMPUTED_VALUE"""),"Василиса")</f>
        <v>Василиса</v>
      </c>
      <c r="D467" t="str">
        <f ca="1">IFERROR(__xludf.DUMMYFUNCTION("""COMPUTED_VALUE"""),"Школа Орлёнок")</f>
        <v>Школа Орлёнок</v>
      </c>
      <c r="E467" s="5"/>
      <c r="F467" s="5"/>
      <c r="G467" s="5"/>
      <c r="H467" s="5"/>
      <c r="I467" s="5"/>
      <c r="J467" s="5"/>
      <c r="K467" s="5"/>
      <c r="L467" s="5"/>
      <c r="M467">
        <f ca="1">IFERROR(__xludf.DUMMYFUNCTION("""COMPUTED_VALUE"""),0)</f>
        <v>0</v>
      </c>
      <c r="N467" s="8"/>
    </row>
    <row r="468" spans="1:14" ht="12.45" hidden="1">
      <c r="A468" t="str">
        <f ca="1">IFERROR(__xludf.DUMMYFUNCTION("""COMPUTED_VALUE"""),"V-2-300")</f>
        <v>V-2-300</v>
      </c>
      <c r="B468" t="str">
        <f ca="1">IFERROR(__xludf.DUMMYFUNCTION("""COMPUTED_VALUE"""),"Мурзин")</f>
        <v>Мурзин</v>
      </c>
      <c r="C468" t="str">
        <f ca="1">IFERROR(__xludf.DUMMYFUNCTION("""COMPUTED_VALUE"""),"Николай")</f>
        <v>Николай</v>
      </c>
      <c r="D468" t="str">
        <f ca="1">IFERROR(__xludf.DUMMYFUNCTION("""COMPUTED_VALUE"""),"Школа Орлёнок")</f>
        <v>Школа Орлёнок</v>
      </c>
      <c r="E468" s="5"/>
      <c r="F468" s="5"/>
      <c r="G468" s="5"/>
      <c r="H468" s="5"/>
      <c r="I468" s="5"/>
      <c r="J468" s="5"/>
      <c r="K468" s="5"/>
      <c r="L468" s="5"/>
      <c r="M468">
        <f ca="1">IFERROR(__xludf.DUMMYFUNCTION("""COMPUTED_VALUE"""),0)</f>
        <v>0</v>
      </c>
      <c r="N468" s="8"/>
    </row>
    <row r="469" spans="1:14" ht="12.45" hidden="1">
      <c r="A469" t="str">
        <f ca="1">IFERROR(__xludf.DUMMYFUNCTION("""COMPUTED_VALUE"""),"V-2-433")</f>
        <v>V-2-433</v>
      </c>
      <c r="B469" t="str">
        <f ca="1">IFERROR(__xludf.DUMMYFUNCTION("""COMPUTED_VALUE"""),"Ульянов")</f>
        <v>Ульянов</v>
      </c>
      <c r="C469" t="str">
        <f ca="1">IFERROR(__xludf.DUMMYFUNCTION("""COMPUTED_VALUE"""),"Мирон")</f>
        <v>Мирон</v>
      </c>
      <c r="D469" t="str">
        <f ca="1">IFERROR(__xludf.DUMMYFUNCTION("""COMPUTED_VALUE"""),"Школа Орлёнок")</f>
        <v>Школа Орлёнок</v>
      </c>
      <c r="E469" s="5"/>
      <c r="F469" s="5"/>
      <c r="G469" s="5"/>
      <c r="H469" s="5"/>
      <c r="I469" s="5"/>
      <c r="J469" s="5"/>
      <c r="K469" s="5"/>
      <c r="L469" s="5"/>
      <c r="M469">
        <f ca="1">IFERROR(__xludf.DUMMYFUNCTION("""COMPUTED_VALUE"""),0)</f>
        <v>0</v>
      </c>
      <c r="N469" s="8"/>
    </row>
    <row r="470" spans="1:14" ht="12.45" hidden="1">
      <c r="A470" t="str">
        <f ca="1">IFERROR(__xludf.DUMMYFUNCTION("""COMPUTED_VALUE"""),"V-2-463")</f>
        <v>V-2-463</v>
      </c>
      <c r="B470" t="str">
        <f ca="1">IFERROR(__xludf.DUMMYFUNCTION("""COMPUTED_VALUE"""),"Шестаков")</f>
        <v>Шестаков</v>
      </c>
      <c r="C470" t="str">
        <f ca="1">IFERROR(__xludf.DUMMYFUNCTION("""COMPUTED_VALUE"""),"Яков")</f>
        <v>Яков</v>
      </c>
      <c r="D470" t="str">
        <f ca="1">IFERROR(__xludf.DUMMYFUNCTION("""COMPUTED_VALUE"""),"Школа Орлёнок")</f>
        <v>Школа Орлёнок</v>
      </c>
      <c r="E470" s="5"/>
      <c r="F470" s="5"/>
      <c r="G470" s="5"/>
      <c r="H470" s="5"/>
      <c r="I470" s="5"/>
      <c r="J470" s="5"/>
      <c r="K470" s="5"/>
      <c r="L470" s="5"/>
      <c r="M470">
        <f ca="1">IFERROR(__xludf.DUMMYFUNCTION("""COMPUTED_VALUE"""),0)</f>
        <v>0</v>
      </c>
      <c r="N470" s="8"/>
    </row>
    <row r="471" spans="1:14" ht="12.45" hidden="1">
      <c r="A471" t="str">
        <f ca="1">IFERROR(__xludf.DUMMYFUNCTION("""COMPUTED_VALUE"""),"III-2-020")</f>
        <v>III-2-020</v>
      </c>
      <c r="B471" t="str">
        <f ca="1">IFERROR(__xludf.DUMMYFUNCTION("""COMPUTED_VALUE"""),"Ануфриев")</f>
        <v>Ануфриев</v>
      </c>
      <c r="C471" t="str">
        <f ca="1">IFERROR(__xludf.DUMMYFUNCTION("""COMPUTED_VALUE"""),"Григорий")</f>
        <v>Григорий</v>
      </c>
      <c r="D471" t="str">
        <f ca="1">IFERROR(__xludf.DUMMYFUNCTION("""COMPUTED_VALUE"""),"Школа Коммунарская школа 1")</f>
        <v>Школа Коммунарская школа 1</v>
      </c>
      <c r="E471" s="5"/>
      <c r="F471" s="5"/>
      <c r="G471" s="5"/>
      <c r="H471" s="5"/>
      <c r="I471" s="5"/>
      <c r="J471" s="5"/>
      <c r="K471" s="5"/>
      <c r="L471" s="5"/>
      <c r="M471">
        <f ca="1">IFERROR(__xludf.DUMMYFUNCTION("""COMPUTED_VALUE"""),0)</f>
        <v>0</v>
      </c>
      <c r="N471" s="8"/>
    </row>
    <row r="472" spans="1:14" ht="12.45" hidden="1">
      <c r="A472" t="str">
        <f ca="1">IFERROR(__xludf.DUMMYFUNCTION("""COMPUTED_VALUE"""),"III-2-225")</f>
        <v>III-2-225</v>
      </c>
      <c r="B472" t="str">
        <f ca="1">IFERROR(__xludf.DUMMYFUNCTION("""COMPUTED_VALUE"""),"Котов")</f>
        <v>Котов</v>
      </c>
      <c r="C472" t="str">
        <f ca="1">IFERROR(__xludf.DUMMYFUNCTION("""COMPUTED_VALUE"""),"Роман")</f>
        <v>Роман</v>
      </c>
      <c r="D472" t="str">
        <f ca="1">IFERROR(__xludf.DUMMYFUNCTION("""COMPUTED_VALUE"""),"Школа 571")</f>
        <v>Школа 571</v>
      </c>
      <c r="E472" s="5"/>
      <c r="F472" s="5"/>
      <c r="G472" s="5"/>
      <c r="H472" s="5"/>
      <c r="I472" s="5"/>
      <c r="J472" s="5"/>
      <c r="K472" s="5"/>
      <c r="L472" s="5"/>
      <c r="M472">
        <f ca="1">IFERROR(__xludf.DUMMYFUNCTION("""COMPUTED_VALUE"""),0)</f>
        <v>0</v>
      </c>
      <c r="N472" s="8"/>
    </row>
    <row r="473" spans="1:14" ht="12.45" hidden="1">
      <c r="A473" t="str">
        <f ca="1">IFERROR(__xludf.DUMMYFUNCTION("""COMPUTED_VALUE"""),"III-2-148")</f>
        <v>III-2-148</v>
      </c>
      <c r="B473" t="str">
        <f ca="1">IFERROR(__xludf.DUMMYFUNCTION("""COMPUTED_VALUE"""),"Егоров")</f>
        <v>Егоров</v>
      </c>
      <c r="C473" t="str">
        <f ca="1">IFERROR(__xludf.DUMMYFUNCTION("""COMPUTED_VALUE"""),"Леонид")</f>
        <v>Леонид</v>
      </c>
      <c r="D473" t="str">
        <f ca="1">IFERROR(__xludf.DUMMYFUNCTION("""COMPUTED_VALUE"""),"Школа 80")</f>
        <v>Школа 80</v>
      </c>
      <c r="E473" s="5"/>
      <c r="F473" s="5"/>
      <c r="G473" s="5"/>
      <c r="H473" s="5"/>
      <c r="I473" s="5"/>
      <c r="J473" s="5"/>
      <c r="K473" s="5"/>
      <c r="L473" s="5"/>
      <c r="M473">
        <f ca="1">IFERROR(__xludf.DUMMYFUNCTION("""COMPUTED_VALUE"""),0)</f>
        <v>0</v>
      </c>
      <c r="N473" s="8"/>
    </row>
    <row r="474" spans="1:14" ht="12.45" hidden="1">
      <c r="A474" t="str">
        <f ca="1">IFERROR(__xludf.DUMMYFUNCTION("""COMPUTED_VALUE"""),"V-2-279")</f>
        <v>V-2-279</v>
      </c>
      <c r="B474" t="str">
        <f ca="1">IFERROR(__xludf.DUMMYFUNCTION("""COMPUTED_VALUE"""),"Маслов")</f>
        <v>Маслов</v>
      </c>
      <c r="C474" t="str">
        <f ca="1">IFERROR(__xludf.DUMMYFUNCTION("""COMPUTED_VALUE"""),"Никита")</f>
        <v>Никита</v>
      </c>
      <c r="D474" t="str">
        <f ca="1">IFERROR(__xludf.DUMMYFUNCTION("""COMPUTED_VALUE"""),"Школа 435")</f>
        <v>Школа 435</v>
      </c>
      <c r="E474" s="5"/>
      <c r="F474" s="5"/>
      <c r="G474" s="5"/>
      <c r="H474" s="5"/>
      <c r="I474" s="5"/>
      <c r="J474" s="5"/>
      <c r="K474" s="5"/>
      <c r="L474" s="5"/>
      <c r="M474">
        <f ca="1">IFERROR(__xludf.DUMMYFUNCTION("""COMPUTED_VALUE"""),0)</f>
        <v>0</v>
      </c>
      <c r="N474" s="8"/>
    </row>
    <row r="475" spans="1:14" ht="12.45" hidden="1">
      <c r="A475" t="str">
        <f ca="1">IFERROR(__xludf.DUMMYFUNCTION("""COMPUTED_VALUE"""),"III-2-080")</f>
        <v>III-2-080</v>
      </c>
      <c r="B475" t="str">
        <f ca="1">IFERROR(__xludf.DUMMYFUNCTION("""COMPUTED_VALUE"""),"Волошина")</f>
        <v>Волошина</v>
      </c>
      <c r="C475" t="str">
        <f ca="1">IFERROR(__xludf.DUMMYFUNCTION("""COMPUTED_VALUE"""),"Алиса")</f>
        <v>Алиса</v>
      </c>
      <c r="D475" t="str">
        <f ca="1">IFERROR(__xludf.DUMMYFUNCTION("""COMPUTED_VALUE"""),"Школа 435")</f>
        <v>Школа 435</v>
      </c>
      <c r="E475" s="5"/>
      <c r="F475" s="5"/>
      <c r="G475" s="5"/>
      <c r="H475" s="5"/>
      <c r="I475" s="5"/>
      <c r="J475" s="5"/>
      <c r="K475" s="5"/>
      <c r="L475" s="5"/>
      <c r="M475">
        <f ca="1">IFERROR(__xludf.DUMMYFUNCTION("""COMPUTED_VALUE"""),0)</f>
        <v>0</v>
      </c>
      <c r="N475" s="8"/>
    </row>
    <row r="476" spans="1:14" ht="12.45" hidden="1">
      <c r="A476" t="str">
        <f ca="1">IFERROR(__xludf.DUMMYFUNCTION("""COMPUTED_VALUE"""),"V-2-335")</f>
        <v>V-2-335</v>
      </c>
      <c r="B476" t="str">
        <f ca="1">IFERROR(__xludf.DUMMYFUNCTION("""COMPUTED_VALUE"""),"Поддубный")</f>
        <v>Поддубный</v>
      </c>
      <c r="C476" t="str">
        <f ca="1">IFERROR(__xludf.DUMMYFUNCTION("""COMPUTED_VALUE"""),"Никита")</f>
        <v>Никита</v>
      </c>
      <c r="D476" t="str">
        <f ca="1">IFERROR(__xludf.DUMMYFUNCTION("""COMPUTED_VALUE"""),"Школа 435")</f>
        <v>Школа 435</v>
      </c>
      <c r="E476" s="5"/>
      <c r="F476" s="5"/>
      <c r="G476" s="5"/>
      <c r="H476" s="5"/>
      <c r="I476" s="5"/>
      <c r="J476" s="5"/>
      <c r="K476" s="5"/>
      <c r="L476" s="5"/>
      <c r="M476">
        <f ca="1">IFERROR(__xludf.DUMMYFUNCTION("""COMPUTED_VALUE"""),0)</f>
        <v>0</v>
      </c>
      <c r="N476" s="8"/>
    </row>
    <row r="477" spans="1:14" ht="12.45" hidden="1">
      <c r="A477" t="str">
        <f ca="1">IFERROR(__xludf.DUMMYFUNCTION("""COMPUTED_VALUE"""),"V-2-481")</f>
        <v>V-2-481</v>
      </c>
      <c r="B477" t="str">
        <f ca="1">IFERROR(__xludf.DUMMYFUNCTION("""COMPUTED_VALUE"""),"Ясырев")</f>
        <v>Ясырев</v>
      </c>
      <c r="C477" t="str">
        <f ca="1">IFERROR(__xludf.DUMMYFUNCTION("""COMPUTED_VALUE"""),"Александр")</f>
        <v>Александр</v>
      </c>
      <c r="D477" t="str">
        <f ca="1">IFERROR(__xludf.DUMMYFUNCTION("""COMPUTED_VALUE"""),"Школа 435")</f>
        <v>Школа 435</v>
      </c>
      <c r="E477" s="5"/>
      <c r="F477" s="5"/>
      <c r="G477" s="5"/>
      <c r="H477" s="5"/>
      <c r="I477" s="5"/>
      <c r="J477" s="5"/>
      <c r="K477" s="5"/>
      <c r="L477" s="5"/>
      <c r="M477">
        <f ca="1">IFERROR(__xludf.DUMMYFUNCTION("""COMPUTED_VALUE"""),0)</f>
        <v>0</v>
      </c>
      <c r="N477" s="8"/>
    </row>
    <row r="478" spans="1:14" ht="12.45" hidden="1">
      <c r="A478" t="str">
        <f ca="1">IFERROR(__xludf.DUMMYFUNCTION("""COMPUTED_VALUE"""),"III-2-042")</f>
        <v>III-2-042</v>
      </c>
      <c r="B478" t="str">
        <f ca="1">IFERROR(__xludf.DUMMYFUNCTION("""COMPUTED_VALUE"""),"Бекшаева")</f>
        <v>Бекшаева</v>
      </c>
      <c r="C478" t="str">
        <f ca="1">IFERROR(__xludf.DUMMYFUNCTION("""COMPUTED_VALUE"""),"Александра")</f>
        <v>Александра</v>
      </c>
      <c r="D478" t="str">
        <f ca="1">IFERROR(__xludf.DUMMYFUNCTION("""COMPUTED_VALUE"""),"Школа 435")</f>
        <v>Школа 435</v>
      </c>
      <c r="E478" s="5"/>
      <c r="F478" s="5"/>
      <c r="G478" s="5"/>
      <c r="H478" s="5"/>
      <c r="I478" s="5"/>
      <c r="J478" s="5"/>
      <c r="K478" s="5"/>
      <c r="L478" s="5"/>
      <c r="M478">
        <f ca="1">IFERROR(__xludf.DUMMYFUNCTION("""COMPUTED_VALUE"""),0)</f>
        <v>0</v>
      </c>
      <c r="N478" s="8"/>
    </row>
    <row r="479" spans="1:14" ht="12.45" hidden="1">
      <c r="A479" t="str">
        <f ca="1">IFERROR(__xludf.DUMMYFUNCTION("""COMPUTED_VALUE"""),"III-2-218")</f>
        <v>III-2-218</v>
      </c>
      <c r="B479" t="str">
        <f ca="1">IFERROR(__xludf.DUMMYFUNCTION("""COMPUTED_VALUE"""),"Кондратьева")</f>
        <v>Кондратьева</v>
      </c>
      <c r="C479" t="str">
        <f ca="1">IFERROR(__xludf.DUMMYFUNCTION("""COMPUTED_VALUE"""),"Екатерина")</f>
        <v>Екатерина</v>
      </c>
      <c r="D479" t="str">
        <f ca="1">IFERROR(__xludf.DUMMYFUNCTION("""COMPUTED_VALUE"""),"Школа 605")</f>
        <v>Школа 605</v>
      </c>
      <c r="E479" s="5"/>
      <c r="F479" s="5"/>
      <c r="G479" s="5"/>
      <c r="H479" s="5"/>
      <c r="I479" s="5"/>
      <c r="J479" s="5"/>
      <c r="K479" s="5"/>
      <c r="L479" s="5"/>
      <c r="M479">
        <f ca="1">IFERROR(__xludf.DUMMYFUNCTION("""COMPUTED_VALUE"""),0)</f>
        <v>0</v>
      </c>
      <c r="N479" s="8"/>
    </row>
    <row r="480" spans="1:14" ht="12.45" hidden="1">
      <c r="A480" t="str">
        <f ca="1">IFERROR(__xludf.DUMMYFUNCTION("""COMPUTED_VALUE"""),"V-2-457")</f>
        <v>V-2-457</v>
      </c>
      <c r="B480" t="str">
        <f ca="1">IFERROR(__xludf.DUMMYFUNCTION("""COMPUTED_VALUE"""),"Чернушкин")</f>
        <v>Чернушкин</v>
      </c>
      <c r="C480" t="str">
        <f ca="1">IFERROR(__xludf.DUMMYFUNCTION("""COMPUTED_VALUE"""),"Юрий")</f>
        <v>Юрий</v>
      </c>
      <c r="D480" t="str">
        <f ca="1">IFERROR(__xludf.DUMMYFUNCTION("""COMPUTED_VALUE"""),"Школа 514")</f>
        <v>Школа 514</v>
      </c>
      <c r="E480" s="5"/>
      <c r="F480" s="5"/>
      <c r="G480" s="5"/>
      <c r="H480" s="5"/>
      <c r="I480" s="5"/>
      <c r="J480" s="5"/>
      <c r="K480" s="5"/>
      <c r="L480" s="5"/>
      <c r="M480">
        <f ca="1">IFERROR(__xludf.DUMMYFUNCTION("""COMPUTED_VALUE"""),0)</f>
        <v>0</v>
      </c>
      <c r="N480" s="8"/>
    </row>
    <row r="481" spans="1:14" ht="12.45" hidden="1">
      <c r="A481" t="str">
        <f ca="1">IFERROR(__xludf.DUMMYFUNCTION("""COMPUTED_VALUE"""),"V-2-470")</f>
        <v>V-2-470</v>
      </c>
      <c r="B481" t="str">
        <f ca="1">IFERROR(__xludf.DUMMYFUNCTION("""COMPUTED_VALUE"""),"Шишкина")</f>
        <v>Шишкина</v>
      </c>
      <c r="C481" t="str">
        <f ca="1">IFERROR(__xludf.DUMMYFUNCTION("""COMPUTED_VALUE"""),"Арина")</f>
        <v>Арина</v>
      </c>
      <c r="D481" t="str">
        <f ca="1">IFERROR(__xludf.DUMMYFUNCTION("""COMPUTED_VALUE"""),"Школа 514")</f>
        <v>Школа 514</v>
      </c>
      <c r="E481" s="5"/>
      <c r="F481" s="5"/>
      <c r="G481" s="5"/>
      <c r="H481" s="5"/>
      <c r="I481" s="5"/>
      <c r="J481" s="5"/>
      <c r="K481" s="5"/>
      <c r="L481" s="5"/>
      <c r="M481">
        <f ca="1">IFERROR(__xludf.DUMMYFUNCTION("""COMPUTED_VALUE"""),0)</f>
        <v>0</v>
      </c>
      <c r="N481" s="8"/>
    </row>
    <row r="482" spans="1:14" ht="12.45" hidden="1">
      <c r="A482" t="str">
        <f ca="1">IFERROR(__xludf.DUMMYFUNCTION("""COMPUTED_VALUE"""),"III-2-075")</f>
        <v>III-2-075</v>
      </c>
      <c r="B482" t="str">
        <f ca="1">IFERROR(__xludf.DUMMYFUNCTION("""COMPUTED_VALUE"""),"Ветошнова")</f>
        <v>Ветошнова</v>
      </c>
      <c r="C482" t="str">
        <f ca="1">IFERROR(__xludf.DUMMYFUNCTION("""COMPUTED_VALUE"""),"Алиса")</f>
        <v>Алиса</v>
      </c>
      <c r="D482" t="str">
        <f ca="1">IFERROR(__xludf.DUMMYFUNCTION("""COMPUTED_VALUE"""),"Гимназия 642 Земля и Вселенная")</f>
        <v>Гимназия 642 Земля и Вселенная</v>
      </c>
      <c r="E482" s="5"/>
      <c r="F482" s="5"/>
      <c r="G482" s="5"/>
      <c r="H482" s="5"/>
      <c r="I482" s="5"/>
      <c r="J482" s="5"/>
      <c r="K482" s="5"/>
      <c r="L482" s="5"/>
      <c r="M482">
        <f ca="1">IFERROR(__xludf.DUMMYFUNCTION("""COMPUTED_VALUE"""),0)</f>
        <v>0</v>
      </c>
      <c r="N482" s="8"/>
    </row>
    <row r="483" spans="1:14" ht="12.45" hidden="1">
      <c r="A483" t="str">
        <f ca="1">IFERROR(__xludf.DUMMYFUNCTION("""COMPUTED_VALUE"""),"V-2-299")</f>
        <v>V-2-299</v>
      </c>
      <c r="B483" t="str">
        <f ca="1">IFERROR(__xludf.DUMMYFUNCTION("""COMPUTED_VALUE"""),"Мулишов")</f>
        <v>Мулишов</v>
      </c>
      <c r="C483" t="str">
        <f ca="1">IFERROR(__xludf.DUMMYFUNCTION("""COMPUTED_VALUE"""),"Михаил")</f>
        <v>Михаил</v>
      </c>
      <c r="D483" t="str">
        <f ca="1">IFERROR(__xludf.DUMMYFUNCTION("""COMPUTED_VALUE"""),"Гимназия Земля и Вселенная")</f>
        <v>Гимназия Земля и Вселенная</v>
      </c>
      <c r="E483" s="5"/>
      <c r="F483" s="5"/>
      <c r="G483" s="5"/>
      <c r="H483" s="5"/>
      <c r="I483" s="5"/>
      <c r="J483" s="5"/>
      <c r="K483" s="5"/>
      <c r="L483" s="5"/>
      <c r="M483">
        <f ca="1">IFERROR(__xludf.DUMMYFUNCTION("""COMPUTED_VALUE"""),0)</f>
        <v>0</v>
      </c>
      <c r="N483" s="8"/>
    </row>
    <row r="484" spans="1:14" ht="12.45" hidden="1">
      <c r="A484" t="str">
        <f ca="1">IFERROR(__xludf.DUMMYFUNCTION("""COMPUTED_VALUE"""),"III-2-160")</f>
        <v>III-2-160</v>
      </c>
      <c r="B484" t="str">
        <f ca="1">IFERROR(__xludf.DUMMYFUNCTION("""COMPUTED_VALUE"""),"Жидкова")</f>
        <v>Жидкова</v>
      </c>
      <c r="C484" t="str">
        <f ca="1">IFERROR(__xludf.DUMMYFUNCTION("""COMPUTED_VALUE"""),"Александра")</f>
        <v>Александра</v>
      </c>
      <c r="D484" t="str">
        <f ca="1">IFERROR(__xludf.DUMMYFUNCTION("""COMPUTED_VALUE"""),"Гимназия 642")</f>
        <v>Гимназия 642</v>
      </c>
      <c r="E484" s="5"/>
      <c r="F484" s="5"/>
      <c r="G484" s="5"/>
      <c r="H484" s="5"/>
      <c r="I484" s="5"/>
      <c r="J484" s="5"/>
      <c r="K484" s="5"/>
      <c r="L484" s="5"/>
      <c r="M484">
        <f ca="1">IFERROR(__xludf.DUMMYFUNCTION("""COMPUTED_VALUE"""),0)</f>
        <v>0</v>
      </c>
      <c r="N484" s="8"/>
    </row>
    <row r="485" spans="1:14" ht="12.45" hidden="1">
      <c r="A485" t="str">
        <f ca="1">IFERROR(__xludf.DUMMYFUNCTION("""COMPUTED_VALUE"""),"V-2-461")</f>
        <v>V-2-461</v>
      </c>
      <c r="B485" t="str">
        <f ca="1">IFERROR(__xludf.DUMMYFUNCTION("""COMPUTED_VALUE"""),"Шаркова")</f>
        <v>Шаркова</v>
      </c>
      <c r="C485" t="str">
        <f ca="1">IFERROR(__xludf.DUMMYFUNCTION("""COMPUTED_VALUE"""),"Анастасия")</f>
        <v>Анастасия</v>
      </c>
      <c r="D485" t="str">
        <f ca="1">IFERROR(__xludf.DUMMYFUNCTION("""COMPUTED_VALUE"""),"Гимназия 642 ”Земля и Вселенная”")</f>
        <v>Гимназия 642 ”Земля и Вселенная”</v>
      </c>
      <c r="E485" s="5"/>
      <c r="F485" s="5"/>
      <c r="G485" s="5"/>
      <c r="H485" s="5"/>
      <c r="I485" s="5"/>
      <c r="J485" s="5"/>
      <c r="K485" s="5"/>
      <c r="L485" s="5"/>
      <c r="M485">
        <f ca="1">IFERROR(__xludf.DUMMYFUNCTION("""COMPUTED_VALUE"""),0)</f>
        <v>0</v>
      </c>
      <c r="N485" s="8"/>
    </row>
    <row r="486" spans="1:14" ht="12.45" hidden="1">
      <c r="A486" t="str">
        <f ca="1">IFERROR(__xludf.DUMMYFUNCTION("""COMPUTED_VALUE"""),"V-2-420")</f>
        <v>V-2-420</v>
      </c>
      <c r="B486" t="str">
        <f ca="1">IFERROR(__xludf.DUMMYFUNCTION("""COMPUTED_VALUE"""),"Счастливый")</f>
        <v>Счастливый</v>
      </c>
      <c r="C486" t="str">
        <f ca="1">IFERROR(__xludf.DUMMYFUNCTION("""COMPUTED_VALUE"""),"Платон")</f>
        <v>Платон</v>
      </c>
      <c r="D486" t="str">
        <f ca="1">IFERROR(__xludf.DUMMYFUNCTION("""COMPUTED_VALUE"""),"Гимназия 1")</f>
        <v>Гимназия 1</v>
      </c>
      <c r="E486" s="5"/>
      <c r="F486" s="5"/>
      <c r="G486" s="5"/>
      <c r="H486" s="5"/>
      <c r="I486" s="5"/>
      <c r="J486" s="5"/>
      <c r="K486" s="5"/>
      <c r="L486" s="5"/>
      <c r="M486">
        <f ca="1">IFERROR(__xludf.DUMMYFUNCTION("""COMPUTED_VALUE"""),0)</f>
        <v>0</v>
      </c>
      <c r="N486" s="8"/>
    </row>
    <row r="487" spans="1:14" ht="12.45" hidden="1">
      <c r="A487" t="str">
        <f ca="1">IFERROR(__xludf.DUMMYFUNCTION("""COMPUTED_VALUE"""),"V-2-418")</f>
        <v>V-2-418</v>
      </c>
      <c r="B487" t="str">
        <f ca="1">IFERROR(__xludf.DUMMYFUNCTION("""COMPUTED_VALUE"""),"Суляева")</f>
        <v>Суляева</v>
      </c>
      <c r="C487" t="str">
        <f ca="1">IFERROR(__xludf.DUMMYFUNCTION("""COMPUTED_VALUE"""),"Полина")</f>
        <v>Полина</v>
      </c>
      <c r="D487" t="str">
        <f ca="1">IFERROR(__xludf.DUMMYFUNCTION("""COMPUTED_VALUE"""),"Школа 42")</f>
        <v>Школа 42</v>
      </c>
      <c r="E487" s="5"/>
      <c r="F487" s="5"/>
      <c r="G487" s="5"/>
      <c r="H487" s="5"/>
      <c r="I487" s="5"/>
      <c r="J487" s="5"/>
      <c r="K487" s="5"/>
      <c r="L487" s="5"/>
      <c r="M487">
        <f ca="1">IFERROR(__xludf.DUMMYFUNCTION("""COMPUTED_VALUE"""),0)</f>
        <v>0</v>
      </c>
      <c r="N487" s="8"/>
    </row>
    <row r="488" spans="1:14" ht="12.45" hidden="1">
      <c r="A488" t="str">
        <f ca="1">IFERROR(__xludf.DUMMYFUNCTION("""COMPUTED_VALUE"""),"V-2-288")</f>
        <v>V-2-288</v>
      </c>
      <c r="B488" t="str">
        <f ca="1">IFERROR(__xludf.DUMMYFUNCTION("""COMPUTED_VALUE"""),"Михеев")</f>
        <v>Михеев</v>
      </c>
      <c r="C488" t="str">
        <f ca="1">IFERROR(__xludf.DUMMYFUNCTION("""COMPUTED_VALUE"""),"Даниил")</f>
        <v>Даниил</v>
      </c>
      <c r="D488" t="str">
        <f ca="1">IFERROR(__xludf.DUMMYFUNCTION("""COMPUTED_VALUE"""),"Школа 106")</f>
        <v>Школа 106</v>
      </c>
      <c r="E488" s="5"/>
      <c r="F488" s="5"/>
      <c r="G488" s="5"/>
      <c r="H488" s="5"/>
      <c r="I488" s="5"/>
      <c r="J488" s="5"/>
      <c r="K488" s="5"/>
      <c r="L488" s="5"/>
      <c r="M488">
        <f ca="1">IFERROR(__xludf.DUMMYFUNCTION("""COMPUTED_VALUE"""),0)</f>
        <v>0</v>
      </c>
      <c r="N488" s="8"/>
    </row>
    <row r="489" spans="1:14" ht="12.45" hidden="1">
      <c r="E489" s="5"/>
      <c r="F489" s="5"/>
      <c r="G489" s="5"/>
      <c r="H489" s="5"/>
      <c r="I489" s="5"/>
      <c r="J489" s="5"/>
      <c r="K489" s="5"/>
      <c r="L489" s="5"/>
      <c r="M489">
        <f ca="1">IFERROR(__xludf.DUMMYFUNCTION("""COMPUTED_VALUE"""),0)</f>
        <v>0</v>
      </c>
      <c r="N489" s="8"/>
    </row>
    <row r="490" spans="1:14" ht="12.45" hidden="1">
      <c r="E490" s="5"/>
      <c r="F490" s="5"/>
      <c r="G490" s="5"/>
      <c r="H490" s="5"/>
      <c r="I490" s="5"/>
      <c r="J490" s="5"/>
      <c r="K490" s="5"/>
      <c r="L490" s="5"/>
      <c r="M490">
        <f ca="1">IFERROR(__xludf.DUMMYFUNCTION("""COMPUTED_VALUE"""),0)</f>
        <v>0</v>
      </c>
      <c r="N490" s="8"/>
    </row>
    <row r="491" spans="1:14" ht="12.45" hidden="1">
      <c r="E491" s="5"/>
      <c r="F491" s="5"/>
      <c r="G491" s="5"/>
      <c r="H491" s="5"/>
      <c r="I491" s="5"/>
      <c r="J491" s="5"/>
      <c r="K491" s="5"/>
      <c r="L491" s="5"/>
      <c r="M491">
        <f ca="1">IFERROR(__xludf.DUMMYFUNCTION("""COMPUTED_VALUE"""),0)</f>
        <v>0</v>
      </c>
      <c r="N491" s="8"/>
    </row>
    <row r="492" spans="1:14" ht="12.45" hidden="1">
      <c r="E492" s="5"/>
      <c r="F492" s="5"/>
      <c r="G492" s="5"/>
      <c r="H492" s="5"/>
      <c r="I492" s="5"/>
      <c r="J492" s="5"/>
      <c r="K492" s="5"/>
      <c r="L492" s="5"/>
      <c r="M492">
        <f ca="1">IFERROR(__xludf.DUMMYFUNCTION("""COMPUTED_VALUE"""),0)</f>
        <v>0</v>
      </c>
      <c r="N492" s="8"/>
    </row>
    <row r="493" spans="1:14" ht="12.45" hidden="1">
      <c r="E493" s="5"/>
      <c r="F493" s="5"/>
      <c r="G493" s="5"/>
      <c r="H493" s="5"/>
      <c r="I493" s="5"/>
      <c r="J493" s="5"/>
      <c r="K493" s="5"/>
      <c r="L493" s="5"/>
      <c r="M493">
        <f ca="1">IFERROR(__xludf.DUMMYFUNCTION("""COMPUTED_VALUE"""),0)</f>
        <v>0</v>
      </c>
      <c r="N493" s="8"/>
    </row>
    <row r="494" spans="1:14" ht="12.45">
      <c r="E494" s="5"/>
      <c r="F494" s="5"/>
      <c r="G494" s="5"/>
      <c r="H494" s="5"/>
      <c r="I494" s="5"/>
      <c r="J494" s="5"/>
      <c r="K494" s="5"/>
      <c r="L494" s="5"/>
      <c r="N494" s="8"/>
    </row>
    <row r="495" spans="1:14" ht="12.45">
      <c r="E495" s="5"/>
      <c r="F495" s="5"/>
      <c r="G495" s="5"/>
      <c r="H495" s="5"/>
      <c r="I495" s="5"/>
      <c r="J495" s="5"/>
      <c r="K495" s="5"/>
      <c r="L495" s="5"/>
      <c r="N495" s="8"/>
    </row>
    <row r="496" spans="1:14" ht="12.45">
      <c r="E496" s="5"/>
      <c r="F496" s="5"/>
      <c r="G496" s="5"/>
      <c r="H496" s="5"/>
      <c r="I496" s="5"/>
      <c r="J496" s="5"/>
      <c r="K496" s="5"/>
      <c r="L496" s="5"/>
      <c r="N496" s="8"/>
    </row>
    <row r="497" spans="5:14" ht="12.45">
      <c r="E497" s="5"/>
      <c r="F497" s="5"/>
      <c r="G497" s="5"/>
      <c r="H497" s="5"/>
      <c r="I497" s="5"/>
      <c r="J497" s="5"/>
      <c r="K497" s="5"/>
      <c r="L497" s="5"/>
      <c r="N497" s="8"/>
    </row>
    <row r="498" spans="5:14" ht="12.45">
      <c r="E498" s="5"/>
      <c r="F498" s="5"/>
      <c r="G498" s="5"/>
      <c r="H498" s="5"/>
      <c r="I498" s="5"/>
      <c r="J498" s="5"/>
      <c r="K498" s="5"/>
      <c r="L498" s="5"/>
      <c r="N498" s="8"/>
    </row>
    <row r="499" spans="5:14" ht="12.45">
      <c r="E499" s="5"/>
      <c r="F499" s="5"/>
      <c r="G499" s="5"/>
      <c r="H499" s="5"/>
      <c r="I499" s="5"/>
      <c r="J499" s="5"/>
      <c r="K499" s="5"/>
      <c r="L499" s="5"/>
      <c r="N499" s="8"/>
    </row>
    <row r="500" spans="5:14" ht="12.45">
      <c r="E500" s="5"/>
      <c r="F500" s="5"/>
      <c r="G500" s="5"/>
      <c r="H500" s="5"/>
      <c r="I500" s="5"/>
      <c r="J500" s="5"/>
      <c r="K500" s="5"/>
      <c r="L500" s="5"/>
      <c r="N500" s="8"/>
    </row>
    <row r="501" spans="5:14" ht="12.45">
      <c r="E501" s="5"/>
      <c r="F501" s="5"/>
      <c r="G501" s="5"/>
      <c r="H501" s="5"/>
      <c r="I501" s="5"/>
      <c r="J501" s="5"/>
      <c r="K501" s="5"/>
      <c r="L501" s="5"/>
      <c r="N501" s="8"/>
    </row>
    <row r="502" spans="5:14" ht="12.45">
      <c r="E502" s="5"/>
      <c r="F502" s="5"/>
      <c r="G502" s="5"/>
      <c r="H502" s="5"/>
      <c r="I502" s="5"/>
      <c r="J502" s="5"/>
      <c r="K502" s="5"/>
      <c r="L502" s="5"/>
      <c r="N502" s="8"/>
    </row>
    <row r="503" spans="5:14" ht="12.45">
      <c r="E503" s="5"/>
      <c r="F503" s="5"/>
      <c r="G503" s="5"/>
      <c r="H503" s="5"/>
      <c r="I503" s="5"/>
      <c r="J503" s="5"/>
      <c r="K503" s="5"/>
      <c r="L503" s="5"/>
      <c r="N503" s="8"/>
    </row>
    <row r="504" spans="5:14" ht="12.45">
      <c r="E504" s="5"/>
      <c r="F504" s="5"/>
      <c r="G504" s="5"/>
      <c r="H504" s="5"/>
      <c r="I504" s="5"/>
      <c r="J504" s="5"/>
      <c r="K504" s="5"/>
      <c r="L504" s="5"/>
      <c r="N504" s="8"/>
    </row>
    <row r="505" spans="5:14" ht="12.45">
      <c r="E505" s="5"/>
      <c r="F505" s="5"/>
      <c r="G505" s="5"/>
      <c r="H505" s="5"/>
      <c r="I505" s="5"/>
      <c r="J505" s="5"/>
      <c r="K505" s="5"/>
      <c r="L505" s="5"/>
      <c r="N505" s="8"/>
    </row>
    <row r="506" spans="5:14" ht="12.45">
      <c r="E506" s="5"/>
      <c r="F506" s="5"/>
      <c r="G506" s="5"/>
      <c r="H506" s="5"/>
      <c r="I506" s="5"/>
      <c r="J506" s="5"/>
      <c r="K506" s="5"/>
      <c r="L506" s="5"/>
      <c r="N506" s="8"/>
    </row>
    <row r="507" spans="5:14" ht="12.45">
      <c r="E507" s="5"/>
      <c r="F507" s="5"/>
      <c r="G507" s="5"/>
      <c r="H507" s="5"/>
      <c r="I507" s="5"/>
      <c r="J507" s="5"/>
      <c r="K507" s="5"/>
      <c r="L507" s="5"/>
      <c r="N507" s="8"/>
    </row>
    <row r="508" spans="5:14" ht="12.45">
      <c r="E508" s="5"/>
      <c r="F508" s="5"/>
      <c r="G508" s="5"/>
      <c r="H508" s="5"/>
      <c r="I508" s="5"/>
      <c r="J508" s="5"/>
      <c r="K508" s="5"/>
      <c r="L508" s="5"/>
      <c r="N508" s="8"/>
    </row>
    <row r="509" spans="5:14" ht="12.45">
      <c r="E509" s="5"/>
      <c r="F509" s="5"/>
      <c r="G509" s="5"/>
      <c r="H509" s="5"/>
      <c r="I509" s="5"/>
      <c r="J509" s="5"/>
      <c r="K509" s="5"/>
      <c r="L509" s="5"/>
      <c r="N509" s="8"/>
    </row>
    <row r="510" spans="5:14" ht="12.45">
      <c r="E510" s="5"/>
      <c r="F510" s="5"/>
      <c r="G510" s="5"/>
      <c r="H510" s="5"/>
      <c r="I510" s="5"/>
      <c r="J510" s="5"/>
      <c r="K510" s="5"/>
      <c r="L510" s="5"/>
      <c r="N510" s="8"/>
    </row>
    <row r="511" spans="5:14" ht="12.45">
      <c r="E511" s="5"/>
      <c r="F511" s="5"/>
      <c r="G511" s="5"/>
      <c r="H511" s="5"/>
      <c r="I511" s="5"/>
      <c r="J511" s="5"/>
      <c r="K511" s="5"/>
      <c r="L511" s="5"/>
      <c r="N511" s="8"/>
    </row>
    <row r="512" spans="5:14" ht="12.45">
      <c r="E512" s="5"/>
      <c r="F512" s="5"/>
      <c r="G512" s="5"/>
      <c r="H512" s="5"/>
      <c r="I512" s="5"/>
      <c r="J512" s="5"/>
      <c r="K512" s="5"/>
      <c r="L512" s="5"/>
      <c r="N512" s="8"/>
    </row>
    <row r="513" spans="5:14" ht="12.45">
      <c r="E513" s="5"/>
      <c r="F513" s="5"/>
      <c r="G513" s="5"/>
      <c r="H513" s="5"/>
      <c r="I513" s="5"/>
      <c r="J513" s="5"/>
      <c r="K513" s="5"/>
      <c r="L513" s="5"/>
      <c r="N513" s="8"/>
    </row>
    <row r="514" spans="5:14" ht="12.45">
      <c r="E514" s="5"/>
      <c r="F514" s="5"/>
      <c r="G514" s="5"/>
      <c r="H514" s="5"/>
      <c r="I514" s="5"/>
      <c r="J514" s="5"/>
      <c r="K514" s="5"/>
      <c r="L514" s="5"/>
      <c r="N514" s="8"/>
    </row>
    <row r="515" spans="5:14" ht="12.45">
      <c r="E515" s="5"/>
      <c r="F515" s="5"/>
      <c r="G515" s="5"/>
      <c r="H515" s="5"/>
      <c r="I515" s="5"/>
      <c r="J515" s="5"/>
      <c r="K515" s="5"/>
      <c r="L515" s="5"/>
      <c r="N515" s="8"/>
    </row>
    <row r="516" spans="5:14" ht="12.45">
      <c r="E516" s="5"/>
      <c r="F516" s="5"/>
      <c r="G516" s="5"/>
      <c r="H516" s="5"/>
      <c r="I516" s="5"/>
      <c r="J516" s="5"/>
      <c r="K516" s="5"/>
      <c r="L516" s="5"/>
      <c r="N516" s="8"/>
    </row>
    <row r="517" spans="5:14" ht="12.45">
      <c r="E517" s="5"/>
      <c r="F517" s="5"/>
      <c r="G517" s="5"/>
      <c r="H517" s="5"/>
      <c r="I517" s="5"/>
      <c r="J517" s="5"/>
      <c r="K517" s="5"/>
      <c r="L517" s="5"/>
      <c r="N517" s="8"/>
    </row>
    <row r="518" spans="5:14" ht="12.45">
      <c r="E518" s="5"/>
      <c r="F518" s="5"/>
      <c r="G518" s="5"/>
      <c r="H518" s="5"/>
      <c r="I518" s="5"/>
      <c r="J518" s="5"/>
      <c r="K518" s="5"/>
      <c r="L518" s="5"/>
      <c r="N518" s="8"/>
    </row>
    <row r="519" spans="5:14" ht="12.45">
      <c r="E519" s="5"/>
      <c r="F519" s="5"/>
      <c r="G519" s="5"/>
      <c r="H519" s="5"/>
      <c r="I519" s="5"/>
      <c r="J519" s="5"/>
      <c r="K519" s="5"/>
      <c r="L519" s="5"/>
      <c r="N519" s="8"/>
    </row>
    <row r="520" spans="5:14" ht="12.45">
      <c r="E520" s="5"/>
      <c r="F520" s="5"/>
      <c r="G520" s="5"/>
      <c r="H520" s="5"/>
      <c r="I520" s="5"/>
      <c r="J520" s="5"/>
      <c r="K520" s="5"/>
      <c r="L520" s="5"/>
      <c r="N520" s="8"/>
    </row>
    <row r="521" spans="5:14" ht="12.45">
      <c r="E521" s="5"/>
      <c r="F521" s="5"/>
      <c r="G521" s="5"/>
      <c r="H521" s="5"/>
      <c r="I521" s="5"/>
      <c r="J521" s="5"/>
      <c r="K521" s="5"/>
      <c r="L521" s="5"/>
      <c r="N521" s="8"/>
    </row>
    <row r="522" spans="5:14" ht="12.45">
      <c r="E522" s="5"/>
      <c r="F522" s="5"/>
      <c r="G522" s="5"/>
      <c r="H522" s="5"/>
      <c r="I522" s="5"/>
      <c r="J522" s="5"/>
      <c r="K522" s="5"/>
      <c r="L522" s="5"/>
      <c r="N522" s="8"/>
    </row>
    <row r="523" spans="5:14" ht="12.45">
      <c r="E523" s="5"/>
      <c r="F523" s="5"/>
      <c r="G523" s="5"/>
      <c r="H523" s="5"/>
      <c r="I523" s="5"/>
      <c r="J523" s="5"/>
      <c r="K523" s="5"/>
      <c r="L523" s="5"/>
      <c r="N523" s="8"/>
    </row>
    <row r="524" spans="5:14" ht="12.45">
      <c r="E524" s="5"/>
      <c r="F524" s="5"/>
      <c r="G524" s="5"/>
      <c r="H524" s="5"/>
      <c r="I524" s="5"/>
      <c r="J524" s="5"/>
      <c r="K524" s="5"/>
      <c r="L524" s="5"/>
      <c r="N524" s="8"/>
    </row>
    <row r="525" spans="5:14" ht="12.45">
      <c r="E525" s="5"/>
      <c r="F525" s="5"/>
      <c r="G525" s="5"/>
      <c r="H525" s="5"/>
      <c r="I525" s="5"/>
      <c r="J525" s="5"/>
      <c r="K525" s="5"/>
      <c r="L525" s="5"/>
      <c r="N525" s="8"/>
    </row>
    <row r="526" spans="5:14" ht="12.45">
      <c r="E526" s="5"/>
      <c r="F526" s="5"/>
      <c r="G526" s="5"/>
      <c r="H526" s="5"/>
      <c r="I526" s="5"/>
      <c r="J526" s="5"/>
      <c r="K526" s="5"/>
      <c r="L526" s="5"/>
      <c r="N526" s="8"/>
    </row>
    <row r="527" spans="5:14" ht="12.45">
      <c r="E527" s="5"/>
      <c r="F527" s="5"/>
      <c r="G527" s="5"/>
      <c r="H527" s="5"/>
      <c r="I527" s="5"/>
      <c r="J527" s="5"/>
      <c r="K527" s="5"/>
      <c r="L527" s="5"/>
      <c r="N527" s="8"/>
    </row>
    <row r="528" spans="5:14" ht="12.45">
      <c r="E528" s="5"/>
      <c r="F528" s="5"/>
      <c r="G528" s="5"/>
      <c r="H528" s="5"/>
      <c r="I528" s="5"/>
      <c r="J528" s="5"/>
      <c r="K528" s="5"/>
      <c r="L528" s="5"/>
      <c r="N528" s="8"/>
    </row>
    <row r="529" spans="5:14" ht="12.45">
      <c r="E529" s="5"/>
      <c r="F529" s="5"/>
      <c r="G529" s="5"/>
      <c r="H529" s="5"/>
      <c r="I529" s="5"/>
      <c r="J529" s="5"/>
      <c r="K529" s="5"/>
      <c r="L529" s="5"/>
      <c r="N529" s="8"/>
    </row>
    <row r="530" spans="5:14" ht="12.45">
      <c r="E530" s="5"/>
      <c r="F530" s="5"/>
      <c r="G530" s="5"/>
      <c r="H530" s="5"/>
      <c r="I530" s="5"/>
      <c r="J530" s="5"/>
      <c r="K530" s="5"/>
      <c r="L530" s="5"/>
      <c r="N530" s="8"/>
    </row>
    <row r="531" spans="5:14" ht="12.45">
      <c r="E531" s="5"/>
      <c r="F531" s="5"/>
      <c r="G531" s="5"/>
      <c r="H531" s="5"/>
      <c r="I531" s="5"/>
      <c r="J531" s="5"/>
      <c r="K531" s="5"/>
      <c r="L531" s="5"/>
      <c r="N531" s="8"/>
    </row>
    <row r="532" spans="5:14" ht="12.45">
      <c r="E532" s="5"/>
      <c r="F532" s="5"/>
      <c r="G532" s="5"/>
      <c r="H532" s="5"/>
      <c r="I532" s="5"/>
      <c r="J532" s="5"/>
      <c r="K532" s="5"/>
      <c r="L532" s="5"/>
      <c r="N532" s="8"/>
    </row>
    <row r="533" spans="5:14" ht="12.45">
      <c r="E533" s="5"/>
      <c r="F533" s="5"/>
      <c r="G533" s="5"/>
      <c r="H533" s="5"/>
      <c r="I533" s="5"/>
      <c r="J533" s="5"/>
      <c r="K533" s="5"/>
      <c r="L533" s="5"/>
      <c r="N533" s="8"/>
    </row>
    <row r="534" spans="5:14" ht="12.45">
      <c r="E534" s="5"/>
      <c r="F534" s="5"/>
      <c r="G534" s="5"/>
      <c r="H534" s="5"/>
      <c r="I534" s="5"/>
      <c r="J534" s="5"/>
      <c r="K534" s="5"/>
      <c r="L534" s="5"/>
      <c r="N534" s="8"/>
    </row>
    <row r="535" spans="5:14" ht="12.45">
      <c r="E535" s="5"/>
      <c r="F535" s="5"/>
      <c r="G535" s="5"/>
      <c r="H535" s="5"/>
      <c r="I535" s="5"/>
      <c r="J535" s="5"/>
      <c r="K535" s="5"/>
      <c r="L535" s="5"/>
      <c r="N535" s="8"/>
    </row>
    <row r="536" spans="5:14" ht="12.45">
      <c r="E536" s="5"/>
      <c r="F536" s="5"/>
      <c r="G536" s="5"/>
      <c r="H536" s="5"/>
      <c r="I536" s="5"/>
      <c r="J536" s="5"/>
      <c r="K536" s="5"/>
      <c r="L536" s="5"/>
      <c r="N536" s="8"/>
    </row>
    <row r="537" spans="5:14" ht="12.45">
      <c r="E537" s="5"/>
      <c r="F537" s="5"/>
      <c r="G537" s="5"/>
      <c r="H537" s="5"/>
      <c r="I537" s="5"/>
      <c r="J537" s="5"/>
      <c r="K537" s="5"/>
      <c r="L537" s="5"/>
      <c r="N537" s="8"/>
    </row>
    <row r="538" spans="5:14" ht="12.45">
      <c r="E538" s="5"/>
      <c r="F538" s="5"/>
      <c r="G538" s="5"/>
      <c r="H538" s="5"/>
      <c r="I538" s="5"/>
      <c r="J538" s="5"/>
      <c r="K538" s="5"/>
      <c r="L538" s="5"/>
      <c r="N538" s="8"/>
    </row>
    <row r="539" spans="5:14" ht="12.45">
      <c r="E539" s="5"/>
      <c r="F539" s="5"/>
      <c r="G539" s="5"/>
      <c r="H539" s="5"/>
      <c r="I539" s="5"/>
      <c r="J539" s="5"/>
      <c r="K539" s="5"/>
      <c r="L539" s="5"/>
      <c r="N539" s="8"/>
    </row>
    <row r="540" spans="5:14" ht="12.45">
      <c r="E540" s="5"/>
      <c r="F540" s="5"/>
      <c r="G540" s="5"/>
      <c r="H540" s="5"/>
      <c r="I540" s="5"/>
      <c r="J540" s="5"/>
      <c r="K540" s="5"/>
      <c r="L540" s="5"/>
      <c r="N540" s="8"/>
    </row>
    <row r="541" spans="5:14" ht="12.45">
      <c r="E541" s="5"/>
      <c r="F541" s="5"/>
      <c r="G541" s="5"/>
      <c r="H541" s="5"/>
      <c r="I541" s="5"/>
      <c r="J541" s="5"/>
      <c r="K541" s="5"/>
      <c r="L541" s="5"/>
      <c r="N541" s="8"/>
    </row>
    <row r="542" spans="5:14" ht="12.45">
      <c r="E542" s="5"/>
      <c r="F542" s="5"/>
      <c r="G542" s="5"/>
      <c r="H542" s="5"/>
      <c r="I542" s="5"/>
      <c r="J542" s="5"/>
      <c r="K542" s="5"/>
      <c r="L542" s="5"/>
      <c r="N542" s="8"/>
    </row>
    <row r="543" spans="5:14" ht="12.45">
      <c r="E543" s="5"/>
      <c r="F543" s="5"/>
      <c r="G543" s="5"/>
      <c r="H543" s="5"/>
      <c r="I543" s="5"/>
      <c r="J543" s="5"/>
      <c r="K543" s="5"/>
      <c r="L543" s="5"/>
      <c r="N543" s="8"/>
    </row>
    <row r="544" spans="5:14" ht="12.45">
      <c r="E544" s="5"/>
      <c r="F544" s="5"/>
      <c r="G544" s="5"/>
      <c r="H544" s="5"/>
      <c r="I544" s="5"/>
      <c r="J544" s="5"/>
      <c r="K544" s="5"/>
      <c r="L544" s="5"/>
      <c r="N544" s="8"/>
    </row>
    <row r="545" spans="5:14" ht="12.45">
      <c r="E545" s="5"/>
      <c r="F545" s="5"/>
      <c r="G545" s="5"/>
      <c r="H545" s="5"/>
      <c r="I545" s="5"/>
      <c r="J545" s="5"/>
      <c r="K545" s="5"/>
      <c r="L545" s="5"/>
      <c r="N545" s="8"/>
    </row>
    <row r="546" spans="5:14" ht="12.45">
      <c r="E546" s="5"/>
      <c r="F546" s="5"/>
      <c r="G546" s="5"/>
      <c r="H546" s="5"/>
      <c r="I546" s="5"/>
      <c r="J546" s="5"/>
      <c r="K546" s="5"/>
      <c r="L546" s="5"/>
      <c r="N546" s="8"/>
    </row>
    <row r="547" spans="5:14" ht="12.45">
      <c r="E547" s="5"/>
      <c r="F547" s="5"/>
      <c r="G547" s="5"/>
      <c r="H547" s="5"/>
      <c r="I547" s="5"/>
      <c r="J547" s="5"/>
      <c r="K547" s="5"/>
      <c r="L547" s="5"/>
      <c r="N547" s="8"/>
    </row>
    <row r="548" spans="5:14" ht="12.45">
      <c r="E548" s="5"/>
      <c r="F548" s="5"/>
      <c r="G548" s="5"/>
      <c r="H548" s="5"/>
      <c r="I548" s="5"/>
      <c r="J548" s="5"/>
      <c r="K548" s="5"/>
      <c r="L548" s="5"/>
      <c r="N548" s="8"/>
    </row>
    <row r="549" spans="5:14" ht="12.45">
      <c r="E549" s="5"/>
      <c r="F549" s="5"/>
      <c r="G549" s="5"/>
      <c r="H549" s="5"/>
      <c r="I549" s="5"/>
      <c r="J549" s="5"/>
      <c r="K549" s="5"/>
      <c r="L549" s="5"/>
      <c r="N549" s="8"/>
    </row>
    <row r="550" spans="5:14" ht="12.45">
      <c r="E550" s="5"/>
      <c r="F550" s="5"/>
      <c r="G550" s="5"/>
      <c r="H550" s="5"/>
      <c r="I550" s="5"/>
      <c r="J550" s="5"/>
      <c r="K550" s="5"/>
      <c r="L550" s="5"/>
      <c r="N550" s="8"/>
    </row>
    <row r="551" spans="5:14" ht="12.45">
      <c r="E551" s="5"/>
      <c r="F551" s="5"/>
      <c r="G551" s="5"/>
      <c r="H551" s="5"/>
      <c r="I551" s="5"/>
      <c r="J551" s="5"/>
      <c r="K551" s="5"/>
      <c r="L551" s="5"/>
      <c r="N551" s="8"/>
    </row>
    <row r="552" spans="5:14" ht="12.45">
      <c r="E552" s="5"/>
      <c r="F552" s="5"/>
      <c r="G552" s="5"/>
      <c r="H552" s="5"/>
      <c r="I552" s="5"/>
      <c r="J552" s="5"/>
      <c r="K552" s="5"/>
      <c r="L552" s="5"/>
      <c r="N552" s="8"/>
    </row>
    <row r="553" spans="5:14" ht="12.45">
      <c r="E553" s="5"/>
      <c r="F553" s="5"/>
      <c r="G553" s="5"/>
      <c r="H553" s="5"/>
      <c r="I553" s="5"/>
      <c r="J553" s="5"/>
      <c r="K553" s="5"/>
      <c r="L553" s="5"/>
      <c r="N553" s="8"/>
    </row>
    <row r="554" spans="5:14" ht="12.45">
      <c r="E554" s="5"/>
      <c r="F554" s="5"/>
      <c r="G554" s="5"/>
      <c r="H554" s="5"/>
      <c r="I554" s="5"/>
      <c r="J554" s="5"/>
      <c r="K554" s="5"/>
      <c r="L554" s="5"/>
      <c r="N554" s="8"/>
    </row>
    <row r="555" spans="5:14" ht="12.45">
      <c r="E555" s="5"/>
      <c r="F555" s="5"/>
      <c r="G555" s="5"/>
      <c r="H555" s="5"/>
      <c r="I555" s="5"/>
      <c r="J555" s="5"/>
      <c r="K555" s="5"/>
      <c r="L555" s="5"/>
      <c r="N555" s="8"/>
    </row>
    <row r="556" spans="5:14" ht="12.45">
      <c r="E556" s="5"/>
      <c r="F556" s="5"/>
      <c r="G556" s="5"/>
      <c r="H556" s="5"/>
      <c r="I556" s="5"/>
      <c r="J556" s="5"/>
      <c r="K556" s="5"/>
      <c r="L556" s="5"/>
      <c r="N556" s="8"/>
    </row>
    <row r="557" spans="5:14" ht="12.45">
      <c r="E557" s="5"/>
      <c r="F557" s="5"/>
      <c r="G557" s="5"/>
      <c r="H557" s="5"/>
      <c r="I557" s="5"/>
      <c r="J557" s="5"/>
      <c r="K557" s="5"/>
      <c r="L557" s="5"/>
      <c r="N557" s="8"/>
    </row>
    <row r="558" spans="5:14" ht="12.45">
      <c r="E558" s="5"/>
      <c r="F558" s="5"/>
      <c r="G558" s="5"/>
      <c r="H558" s="5"/>
      <c r="I558" s="5"/>
      <c r="J558" s="5"/>
      <c r="K558" s="5"/>
      <c r="L558" s="5"/>
      <c r="N558" s="8"/>
    </row>
    <row r="559" spans="5:14" ht="12.45">
      <c r="E559" s="5"/>
      <c r="F559" s="5"/>
      <c r="G559" s="5"/>
      <c r="H559" s="5"/>
      <c r="I559" s="5"/>
      <c r="J559" s="5"/>
      <c r="K559" s="5"/>
      <c r="L559" s="5"/>
      <c r="N559" s="8"/>
    </row>
    <row r="560" spans="5:14" ht="12.45">
      <c r="E560" s="5"/>
      <c r="F560" s="5"/>
      <c r="G560" s="5"/>
      <c r="H560" s="5"/>
      <c r="I560" s="5"/>
      <c r="J560" s="5"/>
      <c r="K560" s="5"/>
      <c r="L560" s="5"/>
      <c r="N560" s="8"/>
    </row>
    <row r="561" spans="5:14" ht="12.45">
      <c r="E561" s="5"/>
      <c r="F561" s="5"/>
      <c r="G561" s="5"/>
      <c r="H561" s="5"/>
      <c r="I561" s="5"/>
      <c r="J561" s="5"/>
      <c r="K561" s="5"/>
      <c r="L561" s="5"/>
      <c r="N561" s="8"/>
    </row>
    <row r="562" spans="5:14" ht="12.45">
      <c r="E562" s="5"/>
      <c r="F562" s="5"/>
      <c r="G562" s="5"/>
      <c r="H562" s="5"/>
      <c r="I562" s="5"/>
      <c r="J562" s="5"/>
      <c r="K562" s="5"/>
      <c r="L562" s="5"/>
      <c r="N562" s="8"/>
    </row>
    <row r="563" spans="5:14" ht="12.45">
      <c r="E563" s="5"/>
      <c r="F563" s="5"/>
      <c r="G563" s="5"/>
      <c r="H563" s="5"/>
      <c r="I563" s="5"/>
      <c r="J563" s="5"/>
      <c r="K563" s="5"/>
      <c r="L563" s="5"/>
      <c r="N563" s="8"/>
    </row>
    <row r="564" spans="5:14" ht="12.45">
      <c r="E564" s="5"/>
      <c r="F564" s="5"/>
      <c r="G564" s="5"/>
      <c r="H564" s="5"/>
      <c r="I564" s="5"/>
      <c r="J564" s="5"/>
      <c r="K564" s="5"/>
      <c r="L564" s="5"/>
      <c r="N564" s="8"/>
    </row>
    <row r="565" spans="5:14" ht="12.45">
      <c r="E565" s="5"/>
      <c r="F565" s="5"/>
      <c r="G565" s="5"/>
      <c r="H565" s="5"/>
      <c r="I565" s="5"/>
      <c r="J565" s="5"/>
      <c r="K565" s="5"/>
      <c r="L565" s="5"/>
      <c r="N565" s="8"/>
    </row>
    <row r="566" spans="5:14" ht="12.45">
      <c r="E566" s="5"/>
      <c r="F566" s="5"/>
      <c r="G566" s="5"/>
      <c r="H566" s="5"/>
      <c r="I566" s="5"/>
      <c r="J566" s="5"/>
      <c r="K566" s="5"/>
      <c r="L566" s="5"/>
      <c r="N566" s="8"/>
    </row>
    <row r="567" spans="5:14" ht="12.45">
      <c r="E567" s="5"/>
      <c r="F567" s="5"/>
      <c r="G567" s="5"/>
      <c r="H567" s="5"/>
      <c r="I567" s="5"/>
      <c r="J567" s="5"/>
      <c r="K567" s="5"/>
      <c r="L567" s="5"/>
      <c r="N567" s="8"/>
    </row>
    <row r="568" spans="5:14" ht="12.45">
      <c r="E568" s="5"/>
      <c r="F568" s="5"/>
      <c r="G568" s="5"/>
      <c r="H568" s="5"/>
      <c r="I568" s="5"/>
      <c r="J568" s="5"/>
      <c r="K568" s="5"/>
      <c r="L568" s="5"/>
      <c r="N568" s="8"/>
    </row>
    <row r="569" spans="5:14" ht="12.45">
      <c r="E569" s="5"/>
      <c r="F569" s="5"/>
      <c r="G569" s="5"/>
      <c r="H569" s="5"/>
      <c r="I569" s="5"/>
      <c r="J569" s="5"/>
      <c r="K569" s="5"/>
      <c r="L569" s="5"/>
      <c r="N569" s="8"/>
    </row>
    <row r="570" spans="5:14" ht="12.45">
      <c r="E570" s="5"/>
      <c r="F570" s="5"/>
      <c r="G570" s="5"/>
      <c r="H570" s="5"/>
      <c r="I570" s="5"/>
      <c r="J570" s="5"/>
      <c r="K570" s="5"/>
      <c r="L570" s="5"/>
      <c r="N570" s="8"/>
    </row>
    <row r="571" spans="5:14" ht="12.45">
      <c r="E571" s="5"/>
      <c r="F571" s="5"/>
      <c r="G571" s="5"/>
      <c r="H571" s="5"/>
      <c r="I571" s="5"/>
      <c r="J571" s="5"/>
      <c r="K571" s="5"/>
      <c r="L571" s="5"/>
      <c r="N571" s="8"/>
    </row>
    <row r="572" spans="5:14" ht="12.45">
      <c r="E572" s="5"/>
      <c r="F572" s="5"/>
      <c r="G572" s="5"/>
      <c r="H572" s="5"/>
      <c r="I572" s="5"/>
      <c r="J572" s="5"/>
      <c r="K572" s="5"/>
      <c r="L572" s="5"/>
      <c r="N572" s="8"/>
    </row>
    <row r="573" spans="5:14" ht="12.45">
      <c r="E573" s="5"/>
      <c r="F573" s="5"/>
      <c r="G573" s="5"/>
      <c r="H573" s="5"/>
      <c r="I573" s="5"/>
      <c r="J573" s="5"/>
      <c r="K573" s="5"/>
      <c r="L573" s="5"/>
      <c r="N573" s="8"/>
    </row>
    <row r="574" spans="5:14" ht="12.45">
      <c r="E574" s="5"/>
      <c r="F574" s="5"/>
      <c r="G574" s="5"/>
      <c r="H574" s="5"/>
      <c r="I574" s="5"/>
      <c r="J574" s="5"/>
      <c r="K574" s="5"/>
      <c r="L574" s="5"/>
      <c r="N574" s="8"/>
    </row>
    <row r="575" spans="5:14" ht="12.45">
      <c r="E575" s="5"/>
      <c r="F575" s="5"/>
      <c r="G575" s="5"/>
      <c r="H575" s="5"/>
      <c r="I575" s="5"/>
      <c r="J575" s="5"/>
      <c r="K575" s="5"/>
      <c r="L575" s="5"/>
      <c r="N575" s="8"/>
    </row>
    <row r="576" spans="5:14" ht="12.45">
      <c r="E576" s="5"/>
      <c r="F576" s="5"/>
      <c r="G576" s="5"/>
      <c r="H576" s="5"/>
      <c r="I576" s="5"/>
      <c r="J576" s="5"/>
      <c r="K576" s="5"/>
      <c r="L576" s="5"/>
      <c r="N576" s="8"/>
    </row>
    <row r="577" spans="5:14" ht="12.45">
      <c r="E577" s="5"/>
      <c r="F577" s="5"/>
      <c r="G577" s="5"/>
      <c r="H577" s="5"/>
      <c r="I577" s="5"/>
      <c r="J577" s="5"/>
      <c r="K577" s="5"/>
      <c r="L577" s="5"/>
      <c r="N577" s="8"/>
    </row>
    <row r="578" spans="5:14" ht="12.45">
      <c r="E578" s="5"/>
      <c r="F578" s="5"/>
      <c r="G578" s="5"/>
      <c r="H578" s="5"/>
      <c r="I578" s="5"/>
      <c r="J578" s="5"/>
      <c r="K578" s="5"/>
      <c r="L578" s="5"/>
      <c r="N578" s="8"/>
    </row>
    <row r="579" spans="5:14" ht="12.45">
      <c r="E579" s="5"/>
      <c r="F579" s="5"/>
      <c r="G579" s="5"/>
      <c r="H579" s="5"/>
      <c r="I579" s="5"/>
      <c r="J579" s="5"/>
      <c r="K579" s="5"/>
      <c r="L579" s="5"/>
      <c r="N579" s="8"/>
    </row>
    <row r="580" spans="5:14" ht="12.45">
      <c r="E580" s="5"/>
      <c r="F580" s="5"/>
      <c r="G580" s="5"/>
      <c r="H580" s="5"/>
      <c r="I580" s="5"/>
      <c r="J580" s="5"/>
      <c r="K580" s="5"/>
      <c r="L580" s="5"/>
      <c r="N580" s="8"/>
    </row>
    <row r="581" spans="5:14" ht="12.45">
      <c r="E581" s="5"/>
      <c r="F581" s="5"/>
      <c r="G581" s="5"/>
      <c r="H581" s="5"/>
      <c r="I581" s="5"/>
      <c r="J581" s="5"/>
      <c r="K581" s="5"/>
      <c r="L581" s="5"/>
      <c r="N581" s="8"/>
    </row>
    <row r="582" spans="5:14" ht="12.45">
      <c r="E582" s="5"/>
      <c r="F582" s="5"/>
      <c r="G582" s="5"/>
      <c r="H582" s="5"/>
      <c r="I582" s="5"/>
      <c r="J582" s="5"/>
      <c r="K582" s="5"/>
      <c r="L582" s="5"/>
      <c r="N582" s="8"/>
    </row>
    <row r="583" spans="5:14" ht="12.45">
      <c r="E583" s="5"/>
      <c r="F583" s="5"/>
      <c r="G583" s="5"/>
      <c r="H583" s="5"/>
      <c r="I583" s="5"/>
      <c r="J583" s="5"/>
      <c r="K583" s="5"/>
      <c r="L583" s="5"/>
      <c r="N583" s="8"/>
    </row>
    <row r="584" spans="5:14" ht="12.45">
      <c r="E584" s="5"/>
      <c r="F584" s="5"/>
      <c r="G584" s="5"/>
      <c r="H584" s="5"/>
      <c r="I584" s="5"/>
      <c r="J584" s="5"/>
      <c r="K584" s="5"/>
      <c r="L584" s="5"/>
      <c r="N584" s="8"/>
    </row>
    <row r="585" spans="5:14" ht="12.45">
      <c r="E585" s="5"/>
      <c r="F585" s="5"/>
      <c r="G585" s="5"/>
      <c r="H585" s="5"/>
      <c r="I585" s="5"/>
      <c r="J585" s="5"/>
      <c r="K585" s="5"/>
      <c r="L585" s="5"/>
      <c r="N585" s="8"/>
    </row>
    <row r="586" spans="5:14" ht="12.45">
      <c r="E586" s="5"/>
      <c r="F586" s="5"/>
      <c r="G586" s="5"/>
      <c r="H586" s="5"/>
      <c r="I586" s="5"/>
      <c r="J586" s="5"/>
      <c r="K586" s="5"/>
      <c r="L586" s="5"/>
      <c r="N586" s="8"/>
    </row>
    <row r="587" spans="5:14" ht="12.45">
      <c r="E587" s="5"/>
      <c r="F587" s="5"/>
      <c r="G587" s="5"/>
      <c r="H587" s="5"/>
      <c r="I587" s="5"/>
      <c r="J587" s="5"/>
      <c r="K587" s="5"/>
      <c r="L587" s="5"/>
      <c r="N587" s="8"/>
    </row>
    <row r="588" spans="5:14" ht="12.45">
      <c r="E588" s="5"/>
      <c r="F588" s="5"/>
      <c r="G588" s="5"/>
      <c r="H588" s="5"/>
      <c r="I588" s="5"/>
      <c r="J588" s="5"/>
      <c r="K588" s="5"/>
      <c r="L588" s="5"/>
      <c r="N588" s="8"/>
    </row>
    <row r="589" spans="5:14" ht="12.45">
      <c r="E589" s="5"/>
      <c r="F589" s="5"/>
      <c r="G589" s="5"/>
      <c r="H589" s="5"/>
      <c r="I589" s="5"/>
      <c r="J589" s="5"/>
      <c r="K589" s="5"/>
      <c r="L589" s="5"/>
      <c r="N589" s="8"/>
    </row>
    <row r="590" spans="5:14" ht="12.45">
      <c r="E590" s="5"/>
      <c r="F590" s="5"/>
      <c r="G590" s="5"/>
      <c r="H590" s="5"/>
      <c r="I590" s="5"/>
      <c r="J590" s="5"/>
      <c r="K590" s="5"/>
      <c r="L590" s="5"/>
      <c r="N590" s="8"/>
    </row>
    <row r="591" spans="5:14" ht="12.45">
      <c r="E591" s="5"/>
      <c r="F591" s="5"/>
      <c r="G591" s="5"/>
      <c r="H591" s="5"/>
      <c r="I591" s="5"/>
      <c r="J591" s="5"/>
      <c r="K591" s="5"/>
      <c r="L591" s="5"/>
      <c r="N591" s="8"/>
    </row>
    <row r="592" spans="5:14" ht="12.45">
      <c r="E592" s="5"/>
      <c r="F592" s="5"/>
      <c r="G592" s="5"/>
      <c r="H592" s="5"/>
      <c r="I592" s="5"/>
      <c r="J592" s="5"/>
      <c r="K592" s="5"/>
      <c r="L592" s="5"/>
      <c r="N592" s="8"/>
    </row>
    <row r="593" spans="5:14" ht="12.45">
      <c r="E593" s="5"/>
      <c r="F593" s="5"/>
      <c r="G593" s="5"/>
      <c r="H593" s="5"/>
      <c r="I593" s="5"/>
      <c r="J593" s="5"/>
      <c r="K593" s="5"/>
      <c r="L593" s="5"/>
      <c r="N593" s="8"/>
    </row>
    <row r="594" spans="5:14" ht="12.45">
      <c r="E594" s="5"/>
      <c r="F594" s="5"/>
      <c r="G594" s="5"/>
      <c r="H594" s="5"/>
      <c r="I594" s="5"/>
      <c r="J594" s="5"/>
      <c r="K594" s="5"/>
      <c r="L594" s="5"/>
      <c r="N594" s="8"/>
    </row>
    <row r="595" spans="5:14" ht="12.45">
      <c r="E595" s="5"/>
      <c r="F595" s="5"/>
      <c r="G595" s="5"/>
      <c r="H595" s="5"/>
      <c r="I595" s="5"/>
      <c r="J595" s="5"/>
      <c r="K595" s="5"/>
      <c r="L595" s="5"/>
      <c r="N595" s="8"/>
    </row>
    <row r="596" spans="5:14" ht="12.45">
      <c r="E596" s="5"/>
      <c r="F596" s="5"/>
      <c r="G596" s="5"/>
      <c r="H596" s="5"/>
      <c r="I596" s="5"/>
      <c r="J596" s="5"/>
      <c r="K596" s="5"/>
      <c r="L596" s="5"/>
      <c r="N596" s="8"/>
    </row>
    <row r="597" spans="5:14" ht="12.45">
      <c r="E597" s="5"/>
      <c r="F597" s="5"/>
      <c r="G597" s="5"/>
      <c r="H597" s="5"/>
      <c r="I597" s="5"/>
      <c r="J597" s="5"/>
      <c r="K597" s="5"/>
      <c r="L597" s="5"/>
      <c r="N597" s="8"/>
    </row>
    <row r="598" spans="5:14" ht="12.45">
      <c r="E598" s="5"/>
      <c r="F598" s="5"/>
      <c r="G598" s="5"/>
      <c r="H598" s="5"/>
      <c r="I598" s="5"/>
      <c r="J598" s="5"/>
      <c r="K598" s="5"/>
      <c r="L598" s="5"/>
      <c r="N598" s="8"/>
    </row>
    <row r="599" spans="5:14" ht="12.45">
      <c r="E599" s="5"/>
      <c r="F599" s="5"/>
      <c r="G599" s="5"/>
      <c r="H599" s="5"/>
      <c r="I599" s="5"/>
      <c r="J599" s="5"/>
      <c r="K599" s="5"/>
      <c r="L599" s="5"/>
      <c r="N599" s="8"/>
    </row>
    <row r="600" spans="5:14" ht="12.45">
      <c r="E600" s="5"/>
      <c r="F600" s="5"/>
      <c r="G600" s="5"/>
      <c r="H600" s="5"/>
      <c r="I600" s="5"/>
      <c r="J600" s="5"/>
      <c r="K600" s="5"/>
      <c r="L600" s="5"/>
      <c r="N600" s="8"/>
    </row>
    <row r="601" spans="5:14" ht="12.45">
      <c r="E601" s="5"/>
      <c r="F601" s="5"/>
      <c r="G601" s="5"/>
      <c r="H601" s="5"/>
      <c r="I601" s="5"/>
      <c r="J601" s="5"/>
      <c r="K601" s="5"/>
      <c r="L601" s="5"/>
      <c r="N601" s="8"/>
    </row>
    <row r="602" spans="5:14" ht="12.45">
      <c r="E602" s="5"/>
      <c r="F602" s="5"/>
      <c r="G602" s="5"/>
      <c r="H602" s="5"/>
      <c r="I602" s="5"/>
      <c r="J602" s="5"/>
      <c r="K602" s="5"/>
      <c r="L602" s="5"/>
      <c r="N602" s="8"/>
    </row>
    <row r="603" spans="5:14" ht="12.45">
      <c r="E603" s="5"/>
      <c r="F603" s="5"/>
      <c r="G603" s="5"/>
      <c r="H603" s="5"/>
      <c r="I603" s="5"/>
      <c r="J603" s="5"/>
      <c r="K603" s="5"/>
      <c r="L603" s="5"/>
      <c r="N603" s="8"/>
    </row>
    <row r="604" spans="5:14" ht="12.45">
      <c r="E604" s="5"/>
      <c r="F604" s="5"/>
      <c r="G604" s="5"/>
      <c r="H604" s="5"/>
      <c r="I604" s="5"/>
      <c r="J604" s="5"/>
      <c r="K604" s="5"/>
      <c r="L604" s="5"/>
      <c r="N604" s="8"/>
    </row>
    <row r="605" spans="5:14" ht="12.45">
      <c r="E605" s="5"/>
      <c r="F605" s="5"/>
      <c r="G605" s="5"/>
      <c r="H605" s="5"/>
      <c r="I605" s="5"/>
      <c r="J605" s="5"/>
      <c r="K605" s="5"/>
      <c r="L605" s="5"/>
      <c r="N605" s="8"/>
    </row>
    <row r="606" spans="5:14" ht="12.45">
      <c r="E606" s="5"/>
      <c r="F606" s="5"/>
      <c r="G606" s="5"/>
      <c r="H606" s="5"/>
      <c r="I606" s="5"/>
      <c r="J606" s="5"/>
      <c r="K606" s="5"/>
      <c r="L606" s="5"/>
      <c r="N606" s="8"/>
    </row>
    <row r="607" spans="5:14" ht="12.45">
      <c r="E607" s="5"/>
      <c r="F607" s="5"/>
      <c r="G607" s="5"/>
      <c r="H607" s="5"/>
      <c r="I607" s="5"/>
      <c r="J607" s="5"/>
      <c r="K607" s="5"/>
      <c r="L607" s="5"/>
      <c r="N607" s="8"/>
    </row>
    <row r="608" spans="5:14" ht="12.45">
      <c r="E608" s="5"/>
      <c r="F608" s="5"/>
      <c r="G608" s="5"/>
      <c r="H608" s="5"/>
      <c r="I608" s="5"/>
      <c r="J608" s="5"/>
      <c r="K608" s="5"/>
      <c r="L608" s="5"/>
      <c r="N608" s="8"/>
    </row>
    <row r="609" spans="5:14" ht="12.45">
      <c r="E609" s="5"/>
      <c r="F609" s="5"/>
      <c r="G609" s="5"/>
      <c r="H609" s="5"/>
      <c r="I609" s="5"/>
      <c r="J609" s="5"/>
      <c r="K609" s="5"/>
      <c r="L609" s="5"/>
      <c r="N609" s="8"/>
    </row>
    <row r="610" spans="5:14" ht="12.45">
      <c r="E610" s="5"/>
      <c r="F610" s="5"/>
      <c r="G610" s="5"/>
      <c r="H610" s="5"/>
      <c r="I610" s="5"/>
      <c r="J610" s="5"/>
      <c r="K610" s="5"/>
      <c r="L610" s="5"/>
      <c r="N610" s="8"/>
    </row>
    <row r="611" spans="5:14" ht="12.45">
      <c r="E611" s="5"/>
      <c r="F611" s="5"/>
      <c r="G611" s="5"/>
      <c r="H611" s="5"/>
      <c r="I611" s="5"/>
      <c r="J611" s="5"/>
      <c r="K611" s="5"/>
      <c r="L611" s="5"/>
      <c r="N611" s="8"/>
    </row>
    <row r="612" spans="5:14" ht="12.45">
      <c r="E612" s="5"/>
      <c r="F612" s="5"/>
      <c r="G612" s="5"/>
      <c r="H612" s="5"/>
      <c r="I612" s="5"/>
      <c r="J612" s="5"/>
      <c r="K612" s="5"/>
      <c r="L612" s="5"/>
      <c r="N612" s="8"/>
    </row>
    <row r="613" spans="5:14" ht="12.45">
      <c r="E613" s="5"/>
      <c r="F613" s="5"/>
      <c r="G613" s="5"/>
      <c r="H613" s="5"/>
      <c r="I613" s="5"/>
      <c r="J613" s="5"/>
      <c r="K613" s="5"/>
      <c r="L613" s="5"/>
      <c r="N613" s="8"/>
    </row>
    <row r="614" spans="5:14" ht="12.45">
      <c r="E614" s="5"/>
      <c r="F614" s="5"/>
      <c r="G614" s="5"/>
      <c r="H614" s="5"/>
      <c r="I614" s="5"/>
      <c r="J614" s="5"/>
      <c r="K614" s="5"/>
      <c r="L614" s="5"/>
      <c r="N614" s="8"/>
    </row>
    <row r="615" spans="5:14" ht="12.45">
      <c r="E615" s="5"/>
      <c r="F615" s="5"/>
      <c r="G615" s="5"/>
      <c r="H615" s="5"/>
      <c r="I615" s="5"/>
      <c r="J615" s="5"/>
      <c r="K615" s="5"/>
      <c r="L615" s="5"/>
      <c r="N615" s="8"/>
    </row>
    <row r="616" spans="5:14" ht="12.45">
      <c r="E616" s="5"/>
      <c r="F616" s="5"/>
      <c r="G616" s="5"/>
      <c r="H616" s="5"/>
      <c r="I616" s="5"/>
      <c r="J616" s="5"/>
      <c r="K616" s="5"/>
      <c r="L616" s="5"/>
      <c r="N616" s="8"/>
    </row>
    <row r="617" spans="5:14" ht="12.45">
      <c r="E617" s="5"/>
      <c r="F617" s="5"/>
      <c r="G617" s="5"/>
      <c r="H617" s="5"/>
      <c r="I617" s="5"/>
      <c r="J617" s="5"/>
      <c r="K617" s="5"/>
      <c r="L617" s="5"/>
      <c r="N617" s="8"/>
    </row>
    <row r="618" spans="5:14" ht="12.45">
      <c r="E618" s="5"/>
      <c r="F618" s="5"/>
      <c r="G618" s="5"/>
      <c r="H618" s="5"/>
      <c r="I618" s="5"/>
      <c r="J618" s="5"/>
      <c r="K618" s="5"/>
      <c r="L618" s="5"/>
      <c r="N618" s="8"/>
    </row>
    <row r="619" spans="5:14" ht="12.45">
      <c r="E619" s="5"/>
      <c r="F619" s="5"/>
      <c r="G619" s="5"/>
      <c r="H619" s="5"/>
      <c r="I619" s="5"/>
      <c r="J619" s="5"/>
      <c r="K619" s="5"/>
      <c r="L619" s="5"/>
      <c r="N619" s="8"/>
    </row>
    <row r="620" spans="5:14" ht="12.45">
      <c r="E620" s="5"/>
      <c r="F620" s="5"/>
      <c r="G620" s="5"/>
      <c r="H620" s="5"/>
      <c r="I620" s="5"/>
      <c r="J620" s="5"/>
      <c r="K620" s="5"/>
      <c r="L620" s="5"/>
      <c r="N620" s="8"/>
    </row>
    <row r="621" spans="5:14" ht="12.45">
      <c r="E621" s="5"/>
      <c r="F621" s="5"/>
      <c r="G621" s="5"/>
      <c r="H621" s="5"/>
      <c r="I621" s="5"/>
      <c r="J621" s="5"/>
      <c r="K621" s="5"/>
      <c r="L621" s="5"/>
      <c r="N621" s="8"/>
    </row>
    <row r="622" spans="5:14" ht="12.45">
      <c r="E622" s="5"/>
      <c r="F622" s="5"/>
      <c r="G622" s="5"/>
      <c r="H622" s="5"/>
      <c r="I622" s="5"/>
      <c r="J622" s="5"/>
      <c r="K622" s="5"/>
      <c r="L622" s="5"/>
      <c r="N622" s="8"/>
    </row>
    <row r="623" spans="5:14" ht="12.45">
      <c r="E623" s="5"/>
      <c r="F623" s="5"/>
      <c r="G623" s="5"/>
      <c r="H623" s="5"/>
      <c r="I623" s="5"/>
      <c r="J623" s="5"/>
      <c r="K623" s="5"/>
      <c r="L623" s="5"/>
      <c r="N623" s="8"/>
    </row>
    <row r="624" spans="5:14" ht="12.45">
      <c r="E624" s="5"/>
      <c r="F624" s="5"/>
      <c r="G624" s="5"/>
      <c r="H624" s="5"/>
      <c r="I624" s="5"/>
      <c r="J624" s="5"/>
      <c r="K624" s="5"/>
      <c r="L624" s="5"/>
      <c r="N624" s="8"/>
    </row>
    <row r="625" spans="5:14" ht="12.45">
      <c r="E625" s="5"/>
      <c r="F625" s="5"/>
      <c r="G625" s="5"/>
      <c r="H625" s="5"/>
      <c r="I625" s="5"/>
      <c r="J625" s="5"/>
      <c r="K625" s="5"/>
      <c r="L625" s="5"/>
      <c r="N625" s="8"/>
    </row>
    <row r="626" spans="5:14" ht="12.45">
      <c r="E626" s="5"/>
      <c r="F626" s="5"/>
      <c r="G626" s="5"/>
      <c r="H626" s="5"/>
      <c r="I626" s="5"/>
      <c r="J626" s="5"/>
      <c r="K626" s="5"/>
      <c r="L626" s="5"/>
      <c r="N626" s="8"/>
    </row>
    <row r="627" spans="5:14" ht="12.45">
      <c r="E627" s="5"/>
      <c r="F627" s="5"/>
      <c r="G627" s="5"/>
      <c r="H627" s="5"/>
      <c r="I627" s="5"/>
      <c r="J627" s="5"/>
      <c r="K627" s="5"/>
      <c r="L627" s="5"/>
      <c r="N627" s="8"/>
    </row>
    <row r="628" spans="5:14" ht="12.45">
      <c r="E628" s="5"/>
      <c r="F628" s="5"/>
      <c r="G628" s="5"/>
      <c r="H628" s="5"/>
      <c r="I628" s="5"/>
      <c r="J628" s="5"/>
      <c r="K628" s="5"/>
      <c r="L628" s="5"/>
      <c r="N628" s="8"/>
    </row>
    <row r="629" spans="5:14" ht="12.45">
      <c r="E629" s="5"/>
      <c r="F629" s="5"/>
      <c r="G629" s="5"/>
      <c r="H629" s="5"/>
      <c r="I629" s="5"/>
      <c r="J629" s="5"/>
      <c r="K629" s="5"/>
      <c r="L629" s="5"/>
      <c r="N629" s="8"/>
    </row>
  </sheetData>
  <autoFilter ref="A8:AA493">
    <filterColumn colId="3">
      <filters>
        <filter val="Школа 1 г. Улан-Удэ"/>
        <filter val="Школа 3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629"/>
  <sheetViews>
    <sheetView workbookViewId="0">
      <pane ySplit="7" topLeftCell="A8" activePane="bottomLeft" state="frozen"/>
      <selection pane="bottomLeft" activeCell="A8" sqref="A8:XFD8"/>
    </sheetView>
  </sheetViews>
  <sheetFormatPr defaultColWidth="12.61328125" defaultRowHeight="15" customHeight="1"/>
  <cols>
    <col min="1" max="1" width="8.3828125" customWidth="1"/>
    <col min="4" max="4" width="17.3828125" customWidth="1"/>
    <col min="5" max="13" width="5.23046875" customWidth="1"/>
  </cols>
  <sheetData>
    <row r="1" spans="1:27" ht="17.60000000000000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600000000000001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600000000000001">
      <c r="A3" s="4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600000000000001">
      <c r="A4" s="4" t="s">
        <v>3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600000000000001" hidden="1">
      <c r="A5" t="str">
        <f ca="1">IFERROR(__xludf.DUMMYFUNCTION("IMPORTRANGE(""https://docs.google.com/spreadsheets/d/1d0Bb4o7lzKT3yBaERn16Vqc645t23wzs8oXZmhT8Li4/edit#gid=204709947"",""'Итоги 3'!A:C"")"),"")</f>
        <v/>
      </c>
      <c r="D5" t="str">
        <f ca="1">IFERROR(__xludf.DUMMYFUNCTION("IMPORTRANGE(""https://docs.google.com/spreadsheets/d/1d0Bb4o7lzKT3yBaERn16Vqc645t23wzs8oXZmhT8Li4/edit#gid=204709947"",""'Итоги 3'!E:E"")"),"")</f>
        <v/>
      </c>
      <c r="E5" s="5" t="str">
        <f ca="1">IFERROR(__xludf.DUMMYFUNCTION("IMPORTRANGE(""https://docs.google.com/spreadsheets/d/1d0Bb4o7lzKT3yBaERn16Vqc645t23wzs8oXZmhT8Li4/edit#gid=204709947"",""'Итоги 3'!S:AB"")"),"ОЧНЫЙ ТУР. Вторая проверка")</f>
        <v>ОЧНЫЙ ТУР. Вторая проверка</v>
      </c>
      <c r="F5" s="5"/>
      <c r="G5" s="5"/>
      <c r="H5" s="5"/>
      <c r="I5" s="5"/>
      <c r="J5" s="5"/>
      <c r="K5" s="5"/>
      <c r="L5" s="5">
        <f ca="1">IFERROR(__xludf.DUMMYFUNCTION("""COMPUTED_VALUE"""),395)</f>
        <v>395</v>
      </c>
      <c r="N5" s="2"/>
    </row>
    <row r="6" spans="1:27" ht="17.600000000000001" hidden="1">
      <c r="E6" s="5">
        <f ca="1">IFERROR(__xludf.DUMMYFUNCTION("""COMPUTED_VALUE"""),312)</f>
        <v>312</v>
      </c>
      <c r="F6" s="5">
        <f ca="1">IFERROR(__xludf.DUMMYFUNCTION("""COMPUTED_VALUE"""),461)</f>
        <v>461</v>
      </c>
      <c r="G6" s="5">
        <f ca="1">IFERROR(__xludf.DUMMYFUNCTION("""COMPUTED_VALUE"""),529)</f>
        <v>529</v>
      </c>
      <c r="H6" s="5">
        <f ca="1">IFERROR(__xludf.DUMMYFUNCTION("""COMPUTED_VALUE"""),308)</f>
        <v>308</v>
      </c>
      <c r="I6" s="5">
        <f ca="1">IFERROR(__xludf.DUMMYFUNCTION("""COMPUTED_VALUE"""),485)</f>
        <v>485</v>
      </c>
      <c r="J6" s="5">
        <f ca="1">IFERROR(__xludf.DUMMYFUNCTION("""COMPUTED_VALUE"""),222)</f>
        <v>222</v>
      </c>
      <c r="K6" s="5">
        <f ca="1">IFERROR(__xludf.DUMMYFUNCTION("""COMPUTED_VALUE"""),453)</f>
        <v>453</v>
      </c>
      <c r="L6" s="5">
        <f ca="1">IFERROR(__xludf.DUMMYFUNCTION("""COMPUTED_VALUE"""),195)</f>
        <v>195</v>
      </c>
      <c r="M6">
        <f ca="1">IFERROR(__xludf.DUMMYFUNCTION("""COMPUTED_VALUE"""),2965)</f>
        <v>2965</v>
      </c>
      <c r="N6" s="2"/>
    </row>
    <row r="7" spans="1:27" ht="12.45">
      <c r="A7" s="9" t="str">
        <f ca="1">IFERROR(__xludf.DUMMYFUNCTION("""COMPUTED_VALUE"""),"Регистрационный номер")</f>
        <v>Регистрационный номер</v>
      </c>
      <c r="B7" s="9" t="str">
        <f ca="1">IFERROR(__xludf.DUMMYFUNCTION("""COMPUTED_VALUE"""),"Фамилия")</f>
        <v>Фамилия</v>
      </c>
      <c r="C7" s="9" t="str">
        <f ca="1">IFERROR(__xludf.DUMMYFUNCTION("""COMPUTED_VALUE"""),"Имя")</f>
        <v>Имя</v>
      </c>
      <c r="D7" s="9" t="str">
        <f ca="1">IFERROR(__xludf.DUMMYFUNCTION("""COMPUTED_VALUE"""),"Школа")</f>
        <v>Школа</v>
      </c>
      <c r="E7" s="10" t="str">
        <f ca="1">IFERROR(__xludf.DUMMYFUNCTION("""COMPUTED_VALUE"""),"#1")</f>
        <v>#1</v>
      </c>
      <c r="F7" s="10" t="str">
        <f ca="1">IFERROR(__xludf.DUMMYFUNCTION("""COMPUTED_VALUE"""),"#2")</f>
        <v>#2</v>
      </c>
      <c r="G7" s="10" t="str">
        <f ca="1">IFERROR(__xludf.DUMMYFUNCTION("""COMPUTED_VALUE"""),"#3")</f>
        <v>#3</v>
      </c>
      <c r="H7" s="10" t="str">
        <f ca="1">IFERROR(__xludf.DUMMYFUNCTION("""COMPUTED_VALUE"""),"#4")</f>
        <v>#4</v>
      </c>
      <c r="I7" s="10" t="str">
        <f ca="1">IFERROR(__xludf.DUMMYFUNCTION("""COMPUTED_VALUE"""),"#5")</f>
        <v>#5</v>
      </c>
      <c r="J7" s="10" t="str">
        <f ca="1">IFERROR(__xludf.DUMMYFUNCTION("""COMPUTED_VALUE"""),"#6")</f>
        <v>#6</v>
      </c>
      <c r="K7" s="10" t="str">
        <f ca="1">IFERROR(__xludf.DUMMYFUNCTION("""COMPUTED_VALUE"""),"#7")</f>
        <v>#7</v>
      </c>
      <c r="L7" s="10" t="str">
        <f ca="1">IFERROR(__xludf.DUMMYFUNCTION("""COMPUTED_VALUE"""),"#8")</f>
        <v>#8</v>
      </c>
      <c r="M7" s="9" t="str">
        <f ca="1">IFERROR(__xludf.DUMMYFUNCTION("""COMPUTED_VALUE"""),"Итого очный 2")</f>
        <v>Итого очный 2</v>
      </c>
      <c r="N7" s="9" t="str">
        <f ca="1">IFERROR(__xludf.DUMMYFUNCTION("""COMPUTED_VALUE"""),"Награда")</f>
        <v>Награда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2.45">
      <c r="A8" t="str">
        <f ca="1">IFERROR(__xludf.DUMMYFUNCTION("""COMPUTED_VALUE"""),"III-3-287")</f>
        <v>III-3-287</v>
      </c>
      <c r="B8" t="str">
        <f ca="1">IFERROR(__xludf.DUMMYFUNCTION("""COMPUTED_VALUE"""),"Леонов")</f>
        <v>Леонов</v>
      </c>
      <c r="C8" t="str">
        <f ca="1">IFERROR(__xludf.DUMMYFUNCTION("""COMPUTED_VALUE"""),"Илья")</f>
        <v>Илья</v>
      </c>
      <c r="D8" t="str">
        <f ca="1">IFERROR(__xludf.DUMMYFUNCTION("""COMPUTED_VALUE"""),"Гимназия 70")</f>
        <v>Гимназия 70</v>
      </c>
      <c r="E8" s="5">
        <f ca="1">IFERROR(__xludf.DUMMYFUNCTION("""COMPUTED_VALUE"""),3)</f>
        <v>3</v>
      </c>
      <c r="F8" s="5">
        <f ca="1">IFERROR(__xludf.DUMMYFUNCTION("""COMPUTED_VALUE"""),5)</f>
        <v>5</v>
      </c>
      <c r="G8" s="5">
        <f ca="1">IFERROR(__xludf.DUMMYFUNCTION("""COMPUTED_VALUE"""),3)</f>
        <v>3</v>
      </c>
      <c r="H8" s="5">
        <f ca="1">IFERROR(__xludf.DUMMYFUNCTION("""COMPUTED_VALUE"""),4)</f>
        <v>4</v>
      </c>
      <c r="I8" s="5">
        <f ca="1">IFERROR(__xludf.DUMMYFUNCTION("""COMPUTED_VALUE"""),5)</f>
        <v>5</v>
      </c>
      <c r="J8" s="5">
        <f ca="1">IFERROR(__xludf.DUMMYFUNCTION("""COMPUTED_VALUE"""),5)</f>
        <v>5</v>
      </c>
      <c r="K8" s="5">
        <f ca="1">IFERROR(__xludf.DUMMYFUNCTION("""COMPUTED_VALUE"""),4)</f>
        <v>4</v>
      </c>
      <c r="L8" s="5">
        <f ca="1">IFERROR(__xludf.DUMMYFUNCTION("""COMPUTED_VALUE"""),6)</f>
        <v>6</v>
      </c>
      <c r="M8">
        <f ca="1">IFERROR(__xludf.DUMMYFUNCTION("""COMPUTED_VALUE"""),35)</f>
        <v>35</v>
      </c>
      <c r="N8" s="8" t="str">
        <f ca="1">IFERROR(__xludf.DUMMYFUNCTION("""COMPUTED_VALUE"""),"Д1")</f>
        <v>Д1</v>
      </c>
    </row>
    <row r="9" spans="1:27" ht="12.45" hidden="1">
      <c r="A9" t="str">
        <f ca="1">IFERROR(__xludf.DUMMYFUNCTION("""COMPUTED_VALUE"""),"III-3-018")</f>
        <v>III-3-018</v>
      </c>
      <c r="B9" t="str">
        <f ca="1">IFERROR(__xludf.DUMMYFUNCTION("""COMPUTED_VALUE"""),"Андронов")</f>
        <v>Андронов</v>
      </c>
      <c r="C9" t="str">
        <f ca="1">IFERROR(__xludf.DUMMYFUNCTION("""COMPUTED_VALUE"""),"Илья")</f>
        <v>Илья</v>
      </c>
      <c r="D9" t="str">
        <f ca="1">IFERROR(__xludf.DUMMYFUNCTION("""COMPUTED_VALUE"""),"Школа 45")</f>
        <v>Школа 45</v>
      </c>
      <c r="E9" s="5">
        <f ca="1">IFERROR(__xludf.DUMMYFUNCTION("""COMPUTED_VALUE"""),3)</f>
        <v>3</v>
      </c>
      <c r="F9" s="5">
        <f ca="1">IFERROR(__xludf.DUMMYFUNCTION("""COMPUTED_VALUE"""),5)</f>
        <v>5</v>
      </c>
      <c r="G9" s="5">
        <f ca="1">IFERROR(__xludf.DUMMYFUNCTION("""COMPUTED_VALUE"""),3)</f>
        <v>3</v>
      </c>
      <c r="H9" s="5">
        <f ca="1">IFERROR(__xludf.DUMMYFUNCTION("""COMPUTED_VALUE"""),4)</f>
        <v>4</v>
      </c>
      <c r="I9" s="5">
        <f ca="1">IFERROR(__xludf.DUMMYFUNCTION("""COMPUTED_VALUE"""),5)</f>
        <v>5</v>
      </c>
      <c r="J9" s="5">
        <f ca="1">IFERROR(__xludf.DUMMYFUNCTION("""COMPUTED_VALUE"""),7)</f>
        <v>7</v>
      </c>
      <c r="K9" s="5">
        <f ca="1">IFERROR(__xludf.DUMMYFUNCTION("""COMPUTED_VALUE"""),4)</f>
        <v>4</v>
      </c>
      <c r="L9" s="5">
        <f ca="1">IFERROR(__xludf.DUMMYFUNCTION("""COMPUTED_VALUE"""),2)</f>
        <v>2</v>
      </c>
      <c r="M9">
        <f ca="1">IFERROR(__xludf.DUMMYFUNCTION("""COMPUTED_VALUE"""),33)</f>
        <v>33</v>
      </c>
      <c r="N9" s="8" t="str">
        <f ca="1">IFERROR(__xludf.DUMMYFUNCTION("""COMPUTED_VALUE"""),"Д1")</f>
        <v>Д1</v>
      </c>
    </row>
    <row r="10" spans="1:27" ht="12.45" hidden="1">
      <c r="A10" t="str">
        <f ca="1">IFERROR(__xludf.DUMMYFUNCTION("""COMPUTED_VALUE"""),"III-3-009")</f>
        <v>III-3-009</v>
      </c>
      <c r="B10" t="str">
        <f ca="1">IFERROR(__xludf.DUMMYFUNCTION("""COMPUTED_VALUE"""),"Алексеев")</f>
        <v>Алексеев</v>
      </c>
      <c r="C10" t="str">
        <f ca="1">IFERROR(__xludf.DUMMYFUNCTION("""COMPUTED_VALUE"""),"Иван")</f>
        <v>Иван</v>
      </c>
      <c r="D10" t="str">
        <f ca="1">IFERROR(__xludf.DUMMYFUNCTION("""COMPUTED_VALUE"""),"Лицей 533")</f>
        <v>Лицей 533</v>
      </c>
      <c r="E10" s="5">
        <f ca="1">IFERROR(__xludf.DUMMYFUNCTION("""COMPUTED_VALUE"""),3)</f>
        <v>3</v>
      </c>
      <c r="F10" s="5">
        <f ca="1">IFERROR(__xludf.DUMMYFUNCTION("""COMPUTED_VALUE"""),1)</f>
        <v>1</v>
      </c>
      <c r="G10" s="5">
        <f ca="1">IFERROR(__xludf.DUMMYFUNCTION("""COMPUTED_VALUE"""),3)</f>
        <v>3</v>
      </c>
      <c r="H10" s="5">
        <f ca="1">IFERROR(__xludf.DUMMYFUNCTION("""COMPUTED_VALUE"""),4)</f>
        <v>4</v>
      </c>
      <c r="I10" s="5">
        <f ca="1">IFERROR(__xludf.DUMMYFUNCTION("""COMPUTED_VALUE"""),5)</f>
        <v>5</v>
      </c>
      <c r="J10" s="5">
        <f ca="1">IFERROR(__xludf.DUMMYFUNCTION("""COMPUTED_VALUE"""),2)</f>
        <v>2</v>
      </c>
      <c r="K10" s="5">
        <f ca="1">IFERROR(__xludf.DUMMYFUNCTION("""COMPUTED_VALUE"""),4)</f>
        <v>4</v>
      </c>
      <c r="L10" s="5">
        <f ca="1">IFERROR(__xludf.DUMMYFUNCTION("""COMPUTED_VALUE"""),6)</f>
        <v>6</v>
      </c>
      <c r="M10">
        <f ca="1">IFERROR(__xludf.DUMMYFUNCTION("""COMPUTED_VALUE"""),28)</f>
        <v>28</v>
      </c>
      <c r="N10" s="8" t="str">
        <f ca="1">IFERROR(__xludf.DUMMYFUNCTION("""COMPUTED_VALUE"""),"Д1")</f>
        <v>Д1</v>
      </c>
    </row>
    <row r="11" spans="1:27" ht="12.45" hidden="1">
      <c r="A11" t="str">
        <f ca="1">IFERROR(__xludf.DUMMYFUNCTION("""COMPUTED_VALUE"""),"III-3-017")</f>
        <v>III-3-017</v>
      </c>
      <c r="B11" t="str">
        <f ca="1">IFERROR(__xludf.DUMMYFUNCTION("""COMPUTED_VALUE"""),"Андриенко")</f>
        <v>Андриенко</v>
      </c>
      <c r="C11" t="str">
        <f ca="1">IFERROR(__xludf.DUMMYFUNCTION("""COMPUTED_VALUE"""),"Игорь")</f>
        <v>Игорь</v>
      </c>
      <c r="D11" t="str">
        <f ca="1">IFERROR(__xludf.DUMMYFUNCTION("""COMPUTED_VALUE"""),"Гимназия 177")</f>
        <v>Гимназия 177</v>
      </c>
      <c r="E11" s="5">
        <f ca="1">IFERROR(__xludf.DUMMYFUNCTION("""COMPUTED_VALUE"""),3)</f>
        <v>3</v>
      </c>
      <c r="F11" s="5">
        <f ca="1">IFERROR(__xludf.DUMMYFUNCTION("""COMPUTED_VALUE"""),1)</f>
        <v>1</v>
      </c>
      <c r="G11" s="5">
        <f ca="1">IFERROR(__xludf.DUMMYFUNCTION("""COMPUTED_VALUE"""),3)</f>
        <v>3</v>
      </c>
      <c r="H11" s="5">
        <f ca="1">IFERROR(__xludf.DUMMYFUNCTION("""COMPUTED_VALUE"""),6)</f>
        <v>6</v>
      </c>
      <c r="I11" s="5">
        <f ca="1">IFERROR(__xludf.DUMMYFUNCTION("""COMPUTED_VALUE"""),5)</f>
        <v>5</v>
      </c>
      <c r="J11" s="5">
        <f ca="1">IFERROR(__xludf.DUMMYFUNCTION("""COMPUTED_VALUE"""),5)</f>
        <v>5</v>
      </c>
      <c r="K11" s="5">
        <f ca="1">IFERROR(__xludf.DUMMYFUNCTION("""COMPUTED_VALUE"""),4)</f>
        <v>4</v>
      </c>
      <c r="L11" s="5">
        <f ca="1">IFERROR(__xludf.DUMMYFUNCTION("""COMPUTED_VALUE"""),1)</f>
        <v>1</v>
      </c>
      <c r="M11">
        <f ca="1">IFERROR(__xludf.DUMMYFUNCTION("""COMPUTED_VALUE"""),28)</f>
        <v>28</v>
      </c>
      <c r="N11" s="8" t="str">
        <f ca="1">IFERROR(__xludf.DUMMYFUNCTION("""COMPUTED_VALUE"""),"Д1")</f>
        <v>Д1</v>
      </c>
    </row>
    <row r="12" spans="1:27" ht="12.45" hidden="1">
      <c r="A12" t="str">
        <f ca="1">IFERROR(__xludf.DUMMYFUNCTION("""COMPUTED_VALUE"""),"V-3-512")</f>
        <v>V-3-512</v>
      </c>
      <c r="B12" t="str">
        <f ca="1">IFERROR(__xludf.DUMMYFUNCTION("""COMPUTED_VALUE"""),"Таран")</f>
        <v>Таран</v>
      </c>
      <c r="C12" t="str">
        <f ca="1">IFERROR(__xludf.DUMMYFUNCTION("""COMPUTED_VALUE"""),"Константин")</f>
        <v>Константин</v>
      </c>
      <c r="D12" t="str">
        <f ca="1">IFERROR(__xludf.DUMMYFUNCTION("""COMPUTED_VALUE"""),"Школа 489")</f>
        <v>Школа 489</v>
      </c>
      <c r="E12" s="5">
        <f ca="1">IFERROR(__xludf.DUMMYFUNCTION("""COMPUTED_VALUE"""),3)</f>
        <v>3</v>
      </c>
      <c r="F12" s="5">
        <f ca="1">IFERROR(__xludf.DUMMYFUNCTION("""COMPUTED_VALUE"""),1)</f>
        <v>1</v>
      </c>
      <c r="G12" s="5">
        <f ca="1">IFERROR(__xludf.DUMMYFUNCTION("""COMPUTED_VALUE"""),3)</f>
        <v>3</v>
      </c>
      <c r="H12" s="5">
        <f ca="1">IFERROR(__xludf.DUMMYFUNCTION("""COMPUTED_VALUE"""),4)</f>
        <v>4</v>
      </c>
      <c r="I12" s="5">
        <f ca="1">IFERROR(__xludf.DUMMYFUNCTION("""COMPUTED_VALUE"""),0)</f>
        <v>0</v>
      </c>
      <c r="J12" s="5">
        <f ca="1">IFERROR(__xludf.DUMMYFUNCTION("""COMPUTED_VALUE"""),8)</f>
        <v>8</v>
      </c>
      <c r="K12" s="5">
        <f ca="1">IFERROR(__xludf.DUMMYFUNCTION("""COMPUTED_VALUE"""),4)</f>
        <v>4</v>
      </c>
      <c r="L12" s="5">
        <f ca="1">IFERROR(__xludf.DUMMYFUNCTION("""COMPUTED_VALUE"""),4)</f>
        <v>4</v>
      </c>
      <c r="M12">
        <f ca="1">IFERROR(__xludf.DUMMYFUNCTION("""COMPUTED_VALUE"""),27)</f>
        <v>27</v>
      </c>
      <c r="N12" s="8" t="str">
        <f ca="1">IFERROR(__xludf.DUMMYFUNCTION("""COMPUTED_VALUE"""),"Д1")</f>
        <v>Д1</v>
      </c>
    </row>
    <row r="13" spans="1:27" ht="12.45" hidden="1">
      <c r="A13" t="str">
        <f ca="1">IFERROR(__xludf.DUMMYFUNCTION("""COMPUTED_VALUE"""),"III-3-104")</f>
        <v>III-3-104</v>
      </c>
      <c r="B13" t="str">
        <f ca="1">IFERROR(__xludf.DUMMYFUNCTION("""COMPUTED_VALUE"""),"Глазова")</f>
        <v>Глазова</v>
      </c>
      <c r="C13" t="str">
        <f ca="1">IFERROR(__xludf.DUMMYFUNCTION("""COMPUTED_VALUE"""),"Ирина")</f>
        <v>Ирина</v>
      </c>
      <c r="D13" t="str">
        <f ca="1">IFERROR(__xludf.DUMMYFUNCTION("""COMPUTED_VALUE"""),"Школа 18")</f>
        <v>Школа 18</v>
      </c>
      <c r="E13" s="5">
        <f ca="1">IFERROR(__xludf.DUMMYFUNCTION("""COMPUTED_VALUE"""),0)</f>
        <v>0</v>
      </c>
      <c r="F13" s="5">
        <f ca="1">IFERROR(__xludf.DUMMYFUNCTION("""COMPUTED_VALUE"""),2)</f>
        <v>2</v>
      </c>
      <c r="G13" s="5">
        <f ca="1">IFERROR(__xludf.DUMMYFUNCTION("""COMPUTED_VALUE"""),3)</f>
        <v>3</v>
      </c>
      <c r="H13" s="5">
        <f ca="1">IFERROR(__xludf.DUMMYFUNCTION("""COMPUTED_VALUE"""),6)</f>
        <v>6</v>
      </c>
      <c r="I13" s="5">
        <f ca="1">IFERROR(__xludf.DUMMYFUNCTION("""COMPUTED_VALUE"""),5)</f>
        <v>5</v>
      </c>
      <c r="J13" s="5">
        <f ca="1">IFERROR(__xludf.DUMMYFUNCTION("""COMPUTED_VALUE"""),0)</f>
        <v>0</v>
      </c>
      <c r="K13" s="5">
        <f ca="1">IFERROR(__xludf.DUMMYFUNCTION("""COMPUTED_VALUE"""),4)</f>
        <v>4</v>
      </c>
      <c r="L13" s="5">
        <f ca="1">IFERROR(__xludf.DUMMYFUNCTION("""COMPUTED_VALUE"""),6)</f>
        <v>6</v>
      </c>
      <c r="M13">
        <f ca="1">IFERROR(__xludf.DUMMYFUNCTION("""COMPUTED_VALUE"""),26)</f>
        <v>26</v>
      </c>
      <c r="N13" s="8" t="str">
        <f ca="1">IFERROR(__xludf.DUMMYFUNCTION("""COMPUTED_VALUE"""),"Д2")</f>
        <v>Д2</v>
      </c>
    </row>
    <row r="14" spans="1:27" ht="12.45" hidden="1">
      <c r="A14" t="str">
        <f ca="1">IFERROR(__xludf.DUMMYFUNCTION("""COMPUTED_VALUE"""),"III-3-077")</f>
        <v>III-3-077</v>
      </c>
      <c r="B14" t="str">
        <f ca="1">IFERROR(__xludf.DUMMYFUNCTION("""COMPUTED_VALUE"""),"Ващило")</f>
        <v>Ващило</v>
      </c>
      <c r="C14" t="str">
        <f ca="1">IFERROR(__xludf.DUMMYFUNCTION("""COMPUTED_VALUE"""),"Фёдор")</f>
        <v>Фёдор</v>
      </c>
      <c r="D14" t="str">
        <f ca="1">IFERROR(__xludf.DUMMYFUNCTION("""COMPUTED_VALUE"""),"Школа 180")</f>
        <v>Школа 180</v>
      </c>
      <c r="E14" s="5">
        <f ca="1">IFERROR(__xludf.DUMMYFUNCTION("""COMPUTED_VALUE"""),3)</f>
        <v>3</v>
      </c>
      <c r="F14" s="5">
        <f ca="1">IFERROR(__xludf.DUMMYFUNCTION("""COMPUTED_VALUE"""),0)</f>
        <v>0</v>
      </c>
      <c r="G14" s="5">
        <f ca="1">IFERROR(__xludf.DUMMYFUNCTION("""COMPUTED_VALUE"""),2)</f>
        <v>2</v>
      </c>
      <c r="H14" s="5">
        <f ca="1">IFERROR(__xludf.DUMMYFUNCTION("""COMPUTED_VALUE"""),6)</f>
        <v>6</v>
      </c>
      <c r="I14" s="5">
        <f ca="1">IFERROR(__xludf.DUMMYFUNCTION("""COMPUTED_VALUE"""),5)</f>
        <v>5</v>
      </c>
      <c r="J14" s="5">
        <f ca="1">IFERROR(__xludf.DUMMYFUNCTION("""COMPUTED_VALUE"""),0)</f>
        <v>0</v>
      </c>
      <c r="K14" s="5">
        <f ca="1">IFERROR(__xludf.DUMMYFUNCTION("""COMPUTED_VALUE"""),4)</f>
        <v>4</v>
      </c>
      <c r="L14" s="5">
        <f ca="1">IFERROR(__xludf.DUMMYFUNCTION("""COMPUTED_VALUE"""),6)</f>
        <v>6</v>
      </c>
      <c r="M14">
        <f ca="1">IFERROR(__xludf.DUMMYFUNCTION("""COMPUTED_VALUE"""),26)</f>
        <v>26</v>
      </c>
      <c r="N14" s="8" t="str">
        <f ca="1">IFERROR(__xludf.DUMMYFUNCTION("""COMPUTED_VALUE"""),"Д2")</f>
        <v>Д2</v>
      </c>
    </row>
    <row r="15" spans="1:27" ht="12.45" hidden="1">
      <c r="A15" t="str">
        <f ca="1">IFERROR(__xludf.DUMMYFUNCTION("""COMPUTED_VALUE"""),"III-3-220")</f>
        <v>III-3-220</v>
      </c>
      <c r="B15" t="str">
        <f ca="1">IFERROR(__xludf.DUMMYFUNCTION("""COMPUTED_VALUE"""),"Кожемякин")</f>
        <v>Кожемякин</v>
      </c>
      <c r="C15" t="str">
        <f ca="1">IFERROR(__xludf.DUMMYFUNCTION("""COMPUTED_VALUE"""),"Данила")</f>
        <v>Данила</v>
      </c>
      <c r="D15" t="str">
        <f ca="1">IFERROR(__xludf.DUMMYFUNCTION("""COMPUTED_VALUE"""),"Школа 489")</f>
        <v>Школа 489</v>
      </c>
      <c r="E15" s="5">
        <f ca="1">IFERROR(__xludf.DUMMYFUNCTION("""COMPUTED_VALUE"""),3)</f>
        <v>3</v>
      </c>
      <c r="F15" s="5">
        <f ca="1">IFERROR(__xludf.DUMMYFUNCTION("""COMPUTED_VALUE"""),1)</f>
        <v>1</v>
      </c>
      <c r="G15" s="5">
        <f ca="1">IFERROR(__xludf.DUMMYFUNCTION("""COMPUTED_VALUE"""),3)</f>
        <v>3</v>
      </c>
      <c r="H15" s="5">
        <f ca="1">IFERROR(__xludf.DUMMYFUNCTION("""COMPUTED_VALUE"""),4)</f>
        <v>4</v>
      </c>
      <c r="I15" s="5">
        <f ca="1">IFERROR(__xludf.DUMMYFUNCTION("""COMPUTED_VALUE"""),5)</f>
        <v>5</v>
      </c>
      <c r="J15" s="5">
        <f ca="1">IFERROR(__xludf.DUMMYFUNCTION("""COMPUTED_VALUE"""),4)</f>
        <v>4</v>
      </c>
      <c r="K15" s="5">
        <f ca="1">IFERROR(__xludf.DUMMYFUNCTION("""COMPUTED_VALUE"""),4)</f>
        <v>4</v>
      </c>
      <c r="L15" s="5">
        <f ca="1">IFERROR(__xludf.DUMMYFUNCTION("""COMPUTED_VALUE"""),1)</f>
        <v>1</v>
      </c>
      <c r="M15">
        <f ca="1">IFERROR(__xludf.DUMMYFUNCTION("""COMPUTED_VALUE"""),25)</f>
        <v>25</v>
      </c>
      <c r="N15" s="8" t="str">
        <f ca="1">IFERROR(__xludf.DUMMYFUNCTION("""COMPUTED_VALUE"""),"Д2")</f>
        <v>Д2</v>
      </c>
    </row>
    <row r="16" spans="1:27" ht="12.45" hidden="1">
      <c r="A16" t="str">
        <f ca="1">IFERROR(__xludf.DUMMYFUNCTION("""COMPUTED_VALUE"""),"V-3-480")</f>
        <v>V-3-480</v>
      </c>
      <c r="B16" t="str">
        <f ca="1">IFERROR(__xludf.DUMMYFUNCTION("""COMPUTED_VALUE"""),"Синенко")</f>
        <v>Синенко</v>
      </c>
      <c r="C16" t="str">
        <f ca="1">IFERROR(__xludf.DUMMYFUNCTION("""COMPUTED_VALUE"""),"Елизавета")</f>
        <v>Елизавета</v>
      </c>
      <c r="D16" t="str">
        <f ca="1">IFERROR(__xludf.DUMMYFUNCTION("""COMPUTED_VALUE"""),"Лицей 470")</f>
        <v>Лицей 470</v>
      </c>
      <c r="E16" s="5">
        <f ca="1">IFERROR(__xludf.DUMMYFUNCTION("""COMPUTED_VALUE"""),1)</f>
        <v>1</v>
      </c>
      <c r="F16" s="5">
        <f ca="1">IFERROR(__xludf.DUMMYFUNCTION("""COMPUTED_VALUE"""),5)</f>
        <v>5</v>
      </c>
      <c r="G16" s="5">
        <f ca="1">IFERROR(__xludf.DUMMYFUNCTION("""COMPUTED_VALUE"""),3)</f>
        <v>3</v>
      </c>
      <c r="H16" s="5">
        <f ca="1">IFERROR(__xludf.DUMMYFUNCTION("""COMPUTED_VALUE"""),0)</f>
        <v>0</v>
      </c>
      <c r="I16" s="5">
        <f ca="1">IFERROR(__xludf.DUMMYFUNCTION("""COMPUTED_VALUE"""),0)</f>
        <v>0</v>
      </c>
      <c r="J16" s="5">
        <f ca="1">IFERROR(__xludf.DUMMYFUNCTION("""COMPUTED_VALUE"""),5)</f>
        <v>5</v>
      </c>
      <c r="K16" s="5">
        <f ca="1">IFERROR(__xludf.DUMMYFUNCTION("""COMPUTED_VALUE"""),4)</f>
        <v>4</v>
      </c>
      <c r="L16" s="5">
        <f ca="1">IFERROR(__xludf.DUMMYFUNCTION("""COMPUTED_VALUE"""),6)</f>
        <v>6</v>
      </c>
      <c r="M16">
        <f ca="1">IFERROR(__xludf.DUMMYFUNCTION("""COMPUTED_VALUE"""),24)</f>
        <v>24</v>
      </c>
      <c r="N16" s="8" t="str">
        <f ca="1">IFERROR(__xludf.DUMMYFUNCTION("""COMPUTED_VALUE"""),"Д2")</f>
        <v>Д2</v>
      </c>
    </row>
    <row r="17" spans="1:14" ht="12.45" hidden="1">
      <c r="A17" t="str">
        <f ca="1">IFERROR(__xludf.DUMMYFUNCTION("""COMPUTED_VALUE"""),"V-3-544")</f>
        <v>V-3-544</v>
      </c>
      <c r="B17" t="str">
        <f ca="1">IFERROR(__xludf.DUMMYFUNCTION("""COMPUTED_VALUE"""),"Федченко")</f>
        <v>Федченко</v>
      </c>
      <c r="C17" t="str">
        <f ca="1">IFERROR(__xludf.DUMMYFUNCTION("""COMPUTED_VALUE"""),"Иван")</f>
        <v>Иван</v>
      </c>
      <c r="D17" t="str">
        <f ca="1">IFERROR(__xludf.DUMMYFUNCTION("""COMPUTED_VALUE"""),"Гимназия 622")</f>
        <v>Гимназия 622</v>
      </c>
      <c r="E17" s="5">
        <f ca="1">IFERROR(__xludf.DUMMYFUNCTION("""COMPUTED_VALUE"""),3)</f>
        <v>3</v>
      </c>
      <c r="F17" s="5">
        <f ca="1">IFERROR(__xludf.DUMMYFUNCTION("""COMPUTED_VALUE"""),0)</f>
        <v>0</v>
      </c>
      <c r="G17" s="5">
        <f ca="1">IFERROR(__xludf.DUMMYFUNCTION("""COMPUTED_VALUE"""),3)</f>
        <v>3</v>
      </c>
      <c r="H17" s="5">
        <f ca="1">IFERROR(__xludf.DUMMYFUNCTION("""COMPUTED_VALUE"""),4)</f>
        <v>4</v>
      </c>
      <c r="I17" s="5">
        <f ca="1">IFERROR(__xludf.DUMMYFUNCTION("""COMPUTED_VALUE"""),5)</f>
        <v>5</v>
      </c>
      <c r="J17" s="5">
        <f ca="1">IFERROR(__xludf.DUMMYFUNCTION("""COMPUTED_VALUE"""),4)</f>
        <v>4</v>
      </c>
      <c r="K17" s="5">
        <f ca="1">IFERROR(__xludf.DUMMYFUNCTION("""COMPUTED_VALUE"""),2)</f>
        <v>2</v>
      </c>
      <c r="L17" s="5">
        <f ca="1">IFERROR(__xludf.DUMMYFUNCTION("""COMPUTED_VALUE"""),1)</f>
        <v>1</v>
      </c>
      <c r="M17">
        <f ca="1">IFERROR(__xludf.DUMMYFUNCTION("""COMPUTED_VALUE"""),22)</f>
        <v>22</v>
      </c>
      <c r="N17" s="8" t="str">
        <f ca="1">IFERROR(__xludf.DUMMYFUNCTION("""COMPUTED_VALUE"""),"Д2")</f>
        <v>Д2</v>
      </c>
    </row>
    <row r="18" spans="1:14" ht="12.45" hidden="1">
      <c r="A18" t="str">
        <f ca="1">IFERROR(__xludf.DUMMYFUNCTION("""COMPUTED_VALUE"""),"V-3-546")</f>
        <v>V-3-546</v>
      </c>
      <c r="B18" t="str">
        <f ca="1">IFERROR(__xludf.DUMMYFUNCTION("""COMPUTED_VALUE"""),"Филиппов")</f>
        <v>Филиппов</v>
      </c>
      <c r="C18" t="str">
        <f ca="1">IFERROR(__xludf.DUMMYFUNCTION("""COMPUTED_VALUE"""),"Геннадий")</f>
        <v>Геннадий</v>
      </c>
      <c r="D18" t="str">
        <f ca="1">IFERROR(__xludf.DUMMYFUNCTION("""COMPUTED_VALUE"""),"Гимназия 116")</f>
        <v>Гимназия 116</v>
      </c>
      <c r="E18" s="5">
        <f ca="1">IFERROR(__xludf.DUMMYFUNCTION("""COMPUTED_VALUE"""),1)</f>
        <v>1</v>
      </c>
      <c r="F18" s="5">
        <f ca="1">IFERROR(__xludf.DUMMYFUNCTION("""COMPUTED_VALUE"""),2)</f>
        <v>2</v>
      </c>
      <c r="G18" s="5">
        <f ca="1">IFERROR(__xludf.DUMMYFUNCTION("""COMPUTED_VALUE"""),2)</f>
        <v>2</v>
      </c>
      <c r="H18" s="5">
        <f ca="1">IFERROR(__xludf.DUMMYFUNCTION("""COMPUTED_VALUE"""),4)</f>
        <v>4</v>
      </c>
      <c r="I18" s="5">
        <f ca="1">IFERROR(__xludf.DUMMYFUNCTION("""COMPUTED_VALUE"""),5)</f>
        <v>5</v>
      </c>
      <c r="J18" s="5">
        <f ca="1">IFERROR(__xludf.DUMMYFUNCTION("""COMPUTED_VALUE"""),5)</f>
        <v>5</v>
      </c>
      <c r="K18" s="5">
        <f ca="1">IFERROR(__xludf.DUMMYFUNCTION("""COMPUTED_VALUE"""),2)</f>
        <v>2</v>
      </c>
      <c r="L18" s="5">
        <f ca="1">IFERROR(__xludf.DUMMYFUNCTION("""COMPUTED_VALUE"""),0)</f>
        <v>0</v>
      </c>
      <c r="M18">
        <f ca="1">IFERROR(__xludf.DUMMYFUNCTION("""COMPUTED_VALUE"""),21)</f>
        <v>21</v>
      </c>
      <c r="N18" s="8" t="str">
        <f ca="1">IFERROR(__xludf.DUMMYFUNCTION("""COMPUTED_VALUE"""),"Д2")</f>
        <v>Д2</v>
      </c>
    </row>
    <row r="19" spans="1:14" ht="12.45" hidden="1">
      <c r="A19" t="str">
        <f ca="1">IFERROR(__xludf.DUMMYFUNCTION("""COMPUTED_VALUE"""),"V-3-574")</f>
        <v>V-3-574</v>
      </c>
      <c r="B19" t="str">
        <f ca="1">IFERROR(__xludf.DUMMYFUNCTION("""COMPUTED_VALUE"""),"Чумаков")</f>
        <v>Чумаков</v>
      </c>
      <c r="C19" t="str">
        <f ca="1">IFERROR(__xludf.DUMMYFUNCTION("""COMPUTED_VALUE"""),"Кирилл")</f>
        <v>Кирилл</v>
      </c>
      <c r="D19" t="str">
        <f ca="1">IFERROR(__xludf.DUMMYFUNCTION("""COMPUTED_VALUE"""),"Гимназия 524")</f>
        <v>Гимназия 524</v>
      </c>
      <c r="E19" s="5">
        <f ca="1">IFERROR(__xludf.DUMMYFUNCTION("""COMPUTED_VALUE"""),3)</f>
        <v>3</v>
      </c>
      <c r="F19" s="5">
        <f ca="1">IFERROR(__xludf.DUMMYFUNCTION("""COMPUTED_VALUE"""),0)</f>
        <v>0</v>
      </c>
      <c r="G19" s="5">
        <f ca="1">IFERROR(__xludf.DUMMYFUNCTION("""COMPUTED_VALUE"""),3)</f>
        <v>3</v>
      </c>
      <c r="H19" s="5">
        <f ca="1">IFERROR(__xludf.DUMMYFUNCTION("""COMPUTED_VALUE"""),2)</f>
        <v>2</v>
      </c>
      <c r="I19" s="5">
        <f ca="1">IFERROR(__xludf.DUMMYFUNCTION("""COMPUTED_VALUE"""),1)</f>
        <v>1</v>
      </c>
      <c r="J19" s="5">
        <f ca="1">IFERROR(__xludf.DUMMYFUNCTION("""COMPUTED_VALUE"""),2)</f>
        <v>2</v>
      </c>
      <c r="K19" s="5">
        <f ca="1">IFERROR(__xludf.DUMMYFUNCTION("""COMPUTED_VALUE"""),4)</f>
        <v>4</v>
      </c>
      <c r="L19" s="5">
        <f ca="1">IFERROR(__xludf.DUMMYFUNCTION("""COMPUTED_VALUE"""),6)</f>
        <v>6</v>
      </c>
      <c r="M19">
        <f ca="1">IFERROR(__xludf.DUMMYFUNCTION("""COMPUTED_VALUE"""),21)</f>
        <v>21</v>
      </c>
      <c r="N19" s="8" t="str">
        <f ca="1">IFERROR(__xludf.DUMMYFUNCTION("""COMPUTED_VALUE"""),"Д2")</f>
        <v>Д2</v>
      </c>
    </row>
    <row r="20" spans="1:14" ht="12.45" hidden="1">
      <c r="A20" t="str">
        <f ca="1">IFERROR(__xludf.DUMMYFUNCTION("""COMPUTED_VALUE"""),"V-3-527")</f>
        <v>V-3-527</v>
      </c>
      <c r="B20" t="str">
        <f ca="1">IFERROR(__xludf.DUMMYFUNCTION("""COMPUTED_VALUE"""),"Тубольцева")</f>
        <v>Тубольцева</v>
      </c>
      <c r="C20" t="str">
        <f ca="1">IFERROR(__xludf.DUMMYFUNCTION("""COMPUTED_VALUE"""),"Анна")</f>
        <v>Анна</v>
      </c>
      <c r="D20" t="str">
        <f ca="1">IFERROR(__xludf.DUMMYFUNCTION("""COMPUTED_VALUE"""),"Гимназия 295")</f>
        <v>Гимназия 295</v>
      </c>
      <c r="E20" s="5">
        <f ca="1">IFERROR(__xludf.DUMMYFUNCTION("""COMPUTED_VALUE"""),3)</f>
        <v>3</v>
      </c>
      <c r="F20" s="5">
        <f ca="1">IFERROR(__xludf.DUMMYFUNCTION("""COMPUTED_VALUE"""),0)</f>
        <v>0</v>
      </c>
      <c r="G20" s="5">
        <f ca="1">IFERROR(__xludf.DUMMYFUNCTION("""COMPUTED_VALUE"""),3)</f>
        <v>3</v>
      </c>
      <c r="H20" s="5">
        <f ca="1">IFERROR(__xludf.DUMMYFUNCTION("""COMPUTED_VALUE"""),4)</f>
        <v>4</v>
      </c>
      <c r="I20" s="5">
        <f ca="1">IFERROR(__xludf.DUMMYFUNCTION("""COMPUTED_VALUE"""),5)</f>
        <v>5</v>
      </c>
      <c r="J20" s="5">
        <f ca="1">IFERROR(__xludf.DUMMYFUNCTION("""COMPUTED_VALUE"""),0)</f>
        <v>0</v>
      </c>
      <c r="K20" s="5">
        <f ca="1">IFERROR(__xludf.DUMMYFUNCTION("""COMPUTED_VALUE"""),3)</f>
        <v>3</v>
      </c>
      <c r="L20" s="5">
        <f ca="1">IFERROR(__xludf.DUMMYFUNCTION("""COMPUTED_VALUE"""),2)</f>
        <v>2</v>
      </c>
      <c r="M20">
        <f ca="1">IFERROR(__xludf.DUMMYFUNCTION("""COMPUTED_VALUE"""),20)</f>
        <v>20</v>
      </c>
      <c r="N20" s="8" t="str">
        <f ca="1">IFERROR(__xludf.DUMMYFUNCTION("""COMPUTED_VALUE"""),"Д2")</f>
        <v>Д2</v>
      </c>
    </row>
    <row r="21" spans="1:14" ht="12.45" hidden="1">
      <c r="A21" t="str">
        <f ca="1">IFERROR(__xludf.DUMMYFUNCTION("""COMPUTED_VALUE"""),"III-3-005")</f>
        <v>III-3-005</v>
      </c>
      <c r="B21" t="str">
        <f ca="1">IFERROR(__xludf.DUMMYFUNCTION("""COMPUTED_VALUE"""),"Авраменко")</f>
        <v>Авраменко</v>
      </c>
      <c r="C21" t="str">
        <f ca="1">IFERROR(__xludf.DUMMYFUNCTION("""COMPUTED_VALUE"""),"Никита")</f>
        <v>Никита</v>
      </c>
      <c r="D21" t="str">
        <f ca="1">IFERROR(__xludf.DUMMYFUNCTION("""COMPUTED_VALUE"""),"Школа 45")</f>
        <v>Школа 45</v>
      </c>
      <c r="E21" s="5">
        <f ca="1">IFERROR(__xludf.DUMMYFUNCTION("""COMPUTED_VALUE"""),3)</f>
        <v>3</v>
      </c>
      <c r="F21" s="5">
        <f ca="1">IFERROR(__xludf.DUMMYFUNCTION("""COMPUTED_VALUE"""),1)</f>
        <v>1</v>
      </c>
      <c r="G21" s="5">
        <f ca="1">IFERROR(__xludf.DUMMYFUNCTION("""COMPUTED_VALUE"""),3)</f>
        <v>3</v>
      </c>
      <c r="H21" s="5">
        <f ca="1">IFERROR(__xludf.DUMMYFUNCTION("""COMPUTED_VALUE"""),4)</f>
        <v>4</v>
      </c>
      <c r="I21" s="5">
        <f ca="1">IFERROR(__xludf.DUMMYFUNCTION("""COMPUTED_VALUE"""),5)</f>
        <v>5</v>
      </c>
      <c r="J21" s="5">
        <f ca="1">IFERROR(__xludf.DUMMYFUNCTION("""COMPUTED_VALUE"""),0)</f>
        <v>0</v>
      </c>
      <c r="K21" s="5">
        <f ca="1">IFERROR(__xludf.DUMMYFUNCTION("""COMPUTED_VALUE"""),4)</f>
        <v>4</v>
      </c>
      <c r="L21" s="5">
        <f ca="1">IFERROR(__xludf.DUMMYFUNCTION("""COMPUTED_VALUE"""),0)</f>
        <v>0</v>
      </c>
      <c r="M21">
        <f ca="1">IFERROR(__xludf.DUMMYFUNCTION("""COMPUTED_VALUE"""),20)</f>
        <v>20</v>
      </c>
      <c r="N21" s="8" t="str">
        <f ca="1">IFERROR(__xludf.DUMMYFUNCTION("""COMPUTED_VALUE"""),"Д2")</f>
        <v>Д2</v>
      </c>
    </row>
    <row r="22" spans="1:14" ht="12.45" hidden="1">
      <c r="A22" t="str">
        <f ca="1">IFERROR(__xludf.DUMMYFUNCTION("""COMPUTED_VALUE"""),"III-3-023")</f>
        <v>III-3-023</v>
      </c>
      <c r="B22" t="str">
        <f ca="1">IFERROR(__xludf.DUMMYFUNCTION("""COMPUTED_VALUE"""),"Араратов")</f>
        <v>Араратов</v>
      </c>
      <c r="C22" t="str">
        <f ca="1">IFERROR(__xludf.DUMMYFUNCTION("""COMPUTED_VALUE"""),"Павел")</f>
        <v>Павел</v>
      </c>
      <c r="D22" t="str">
        <f ca="1">IFERROR(__xludf.DUMMYFUNCTION("""COMPUTED_VALUE"""),"Школа 598")</f>
        <v>Школа 598</v>
      </c>
      <c r="E22" s="5">
        <f ca="1">IFERROR(__xludf.DUMMYFUNCTION("""COMPUTED_VALUE"""),1)</f>
        <v>1</v>
      </c>
      <c r="F22" s="5">
        <f ca="1">IFERROR(__xludf.DUMMYFUNCTION("""COMPUTED_VALUE"""),5)</f>
        <v>5</v>
      </c>
      <c r="G22" s="5">
        <f ca="1">IFERROR(__xludf.DUMMYFUNCTION("""COMPUTED_VALUE"""),3)</f>
        <v>3</v>
      </c>
      <c r="H22" s="5">
        <f ca="1">IFERROR(__xludf.DUMMYFUNCTION("""COMPUTED_VALUE"""),4)</f>
        <v>4</v>
      </c>
      <c r="I22" s="5">
        <f ca="1">IFERROR(__xludf.DUMMYFUNCTION("""COMPUTED_VALUE"""),5)</f>
        <v>5</v>
      </c>
      <c r="J22" s="5">
        <f ca="1">IFERROR(__xludf.DUMMYFUNCTION("""COMPUTED_VALUE"""),0)</f>
        <v>0</v>
      </c>
      <c r="K22" s="5">
        <f ca="1">IFERROR(__xludf.DUMMYFUNCTION("""COMPUTED_VALUE"""),2)</f>
        <v>2</v>
      </c>
      <c r="L22" s="5">
        <f ca="1">IFERROR(__xludf.DUMMYFUNCTION("""COMPUTED_VALUE"""),0)</f>
        <v>0</v>
      </c>
      <c r="M22">
        <f ca="1">IFERROR(__xludf.DUMMYFUNCTION("""COMPUTED_VALUE"""),20)</f>
        <v>20</v>
      </c>
      <c r="N22" s="8" t="str">
        <f ca="1">IFERROR(__xludf.DUMMYFUNCTION("""COMPUTED_VALUE"""),"Д2")</f>
        <v>Д2</v>
      </c>
    </row>
    <row r="23" spans="1:14" ht="12.45" hidden="1">
      <c r="A23" t="str">
        <f ca="1">IFERROR(__xludf.DUMMYFUNCTION("""COMPUTED_VALUE"""),"III-3-181")</f>
        <v>III-3-181</v>
      </c>
      <c r="B23" t="str">
        <f ca="1">IFERROR(__xludf.DUMMYFUNCTION("""COMPUTED_VALUE"""),"Игумнов")</f>
        <v>Игумнов</v>
      </c>
      <c r="C23" t="str">
        <f ca="1">IFERROR(__xludf.DUMMYFUNCTION("""COMPUTED_VALUE"""),"Эйнер-Александр")</f>
        <v>Эйнер-Александр</v>
      </c>
      <c r="D23" t="str">
        <f ca="1">IFERROR(__xludf.DUMMYFUNCTION("""COMPUTED_VALUE"""),"Лицей 366")</f>
        <v>Лицей 366</v>
      </c>
      <c r="E23" s="5">
        <f ca="1">IFERROR(__xludf.DUMMYFUNCTION("""COMPUTED_VALUE"""),3)</f>
        <v>3</v>
      </c>
      <c r="F23" s="5">
        <f ca="1">IFERROR(__xludf.DUMMYFUNCTION("""COMPUTED_VALUE"""),1)</f>
        <v>1</v>
      </c>
      <c r="G23" s="5">
        <f ca="1">IFERROR(__xludf.DUMMYFUNCTION("""COMPUTED_VALUE"""),1)</f>
        <v>1</v>
      </c>
      <c r="H23" s="5">
        <f ca="1">IFERROR(__xludf.DUMMYFUNCTION("""COMPUTED_VALUE"""),0)</f>
        <v>0</v>
      </c>
      <c r="I23" s="5">
        <f ca="1">IFERROR(__xludf.DUMMYFUNCTION("""COMPUTED_VALUE"""),5)</f>
        <v>5</v>
      </c>
      <c r="J23" s="5">
        <f ca="1">IFERROR(__xludf.DUMMYFUNCTION("""COMPUTED_VALUE"""),4)</f>
        <v>4</v>
      </c>
      <c r="K23" s="5">
        <f ca="1">IFERROR(__xludf.DUMMYFUNCTION("""COMPUTED_VALUE"""),2)</f>
        <v>2</v>
      </c>
      <c r="L23" s="5">
        <f ca="1">IFERROR(__xludf.DUMMYFUNCTION("""COMPUTED_VALUE"""),4)</f>
        <v>4</v>
      </c>
      <c r="M23">
        <f ca="1">IFERROR(__xludf.DUMMYFUNCTION("""COMPUTED_VALUE"""),20)</f>
        <v>20</v>
      </c>
      <c r="N23" s="8" t="str">
        <f ca="1">IFERROR(__xludf.DUMMYFUNCTION("""COMPUTED_VALUE"""),"Д2")</f>
        <v>Д2</v>
      </c>
    </row>
    <row r="24" spans="1:14" ht="12.45" hidden="1">
      <c r="A24" t="str">
        <f ca="1">IFERROR(__xludf.DUMMYFUNCTION("""COMPUTED_VALUE"""),"III-3-174")</f>
        <v>III-3-174</v>
      </c>
      <c r="B24" t="str">
        <f ca="1">IFERROR(__xludf.DUMMYFUNCTION("""COMPUTED_VALUE"""),"Иванов")</f>
        <v>Иванов</v>
      </c>
      <c r="C24" t="str">
        <f ca="1">IFERROR(__xludf.DUMMYFUNCTION("""COMPUTED_VALUE"""),"Николай")</f>
        <v>Николай</v>
      </c>
      <c r="D24" t="str">
        <f ca="1">IFERROR(__xludf.DUMMYFUNCTION("""COMPUTED_VALUE"""),"Школа 489")</f>
        <v>Школа 489</v>
      </c>
      <c r="E24" s="5">
        <f ca="1">IFERROR(__xludf.DUMMYFUNCTION("""COMPUTED_VALUE"""),3)</f>
        <v>3</v>
      </c>
      <c r="F24" s="5">
        <f ca="1">IFERROR(__xludf.DUMMYFUNCTION("""COMPUTED_VALUE"""),1)</f>
        <v>1</v>
      </c>
      <c r="G24" s="5">
        <f ca="1">IFERROR(__xludf.DUMMYFUNCTION("""COMPUTED_VALUE"""),2)</f>
        <v>2</v>
      </c>
      <c r="H24" s="5">
        <f ca="1">IFERROR(__xludf.DUMMYFUNCTION("""COMPUTED_VALUE"""),2)</f>
        <v>2</v>
      </c>
      <c r="I24" s="5">
        <f ca="1">IFERROR(__xludf.DUMMYFUNCTION("""COMPUTED_VALUE"""),5)</f>
        <v>5</v>
      </c>
      <c r="J24" s="5">
        <f ca="1">IFERROR(__xludf.DUMMYFUNCTION("""COMPUTED_VALUE"""),2)</f>
        <v>2</v>
      </c>
      <c r="K24" s="5">
        <f ca="1">IFERROR(__xludf.DUMMYFUNCTION("""COMPUTED_VALUE"""),4)</f>
        <v>4</v>
      </c>
      <c r="L24" s="5">
        <f ca="1">IFERROR(__xludf.DUMMYFUNCTION("""COMPUTED_VALUE"""),1)</f>
        <v>1</v>
      </c>
      <c r="M24">
        <f ca="1">IFERROR(__xludf.DUMMYFUNCTION("""COMPUTED_VALUE"""),20)</f>
        <v>20</v>
      </c>
      <c r="N24" s="8" t="str">
        <f ca="1">IFERROR(__xludf.DUMMYFUNCTION("""COMPUTED_VALUE"""),"Д2")</f>
        <v>Д2</v>
      </c>
    </row>
    <row r="25" spans="1:14" ht="12.45" hidden="1">
      <c r="A25" t="str">
        <f ca="1">IFERROR(__xludf.DUMMYFUNCTION("""COMPUTED_VALUE"""),"V-3-404")</f>
        <v>V-3-404</v>
      </c>
      <c r="B25" t="str">
        <f ca="1">IFERROR(__xludf.DUMMYFUNCTION("""COMPUTED_VALUE"""),"Парамонов")</f>
        <v>Парамонов</v>
      </c>
      <c r="C25" t="str">
        <f ca="1">IFERROR(__xludf.DUMMYFUNCTION("""COMPUTED_VALUE"""),"Иван")</f>
        <v>Иван</v>
      </c>
      <c r="D25" t="str">
        <f ca="1">IFERROR(__xludf.DUMMYFUNCTION("""COMPUTED_VALUE"""),"Лицей 344")</f>
        <v>Лицей 344</v>
      </c>
      <c r="E25" s="5">
        <f ca="1">IFERROR(__xludf.DUMMYFUNCTION("""COMPUTED_VALUE"""),1)</f>
        <v>1</v>
      </c>
      <c r="F25" s="5">
        <f ca="1">IFERROR(__xludf.DUMMYFUNCTION("""COMPUTED_VALUE"""),0)</f>
        <v>0</v>
      </c>
      <c r="G25" s="5">
        <f ca="1">IFERROR(__xludf.DUMMYFUNCTION("""COMPUTED_VALUE"""),3)</f>
        <v>3</v>
      </c>
      <c r="H25" s="5">
        <f ca="1">IFERROR(__xludf.DUMMYFUNCTION("""COMPUTED_VALUE"""),4)</f>
        <v>4</v>
      </c>
      <c r="I25" s="5">
        <f ca="1">IFERROR(__xludf.DUMMYFUNCTION("""COMPUTED_VALUE"""),5)</f>
        <v>5</v>
      </c>
      <c r="J25" s="5">
        <f ca="1">IFERROR(__xludf.DUMMYFUNCTION("""COMPUTED_VALUE"""),1)</f>
        <v>1</v>
      </c>
      <c r="K25" s="5">
        <f ca="1">IFERROR(__xludf.DUMMYFUNCTION("""COMPUTED_VALUE"""),4)</f>
        <v>4</v>
      </c>
      <c r="L25" s="5">
        <f ca="1">IFERROR(__xludf.DUMMYFUNCTION("""COMPUTED_VALUE"""),2)</f>
        <v>2</v>
      </c>
      <c r="M25">
        <f ca="1">IFERROR(__xludf.DUMMYFUNCTION("""COMPUTED_VALUE"""),20)</f>
        <v>20</v>
      </c>
      <c r="N25" s="8" t="str">
        <f ca="1">IFERROR(__xludf.DUMMYFUNCTION("""COMPUTED_VALUE"""),"Д2")</f>
        <v>Д2</v>
      </c>
    </row>
    <row r="26" spans="1:14" ht="12.45" hidden="1">
      <c r="A26" t="str">
        <f ca="1">IFERROR(__xludf.DUMMYFUNCTION("""COMPUTED_VALUE"""),"III-3-146")</f>
        <v>III-3-146</v>
      </c>
      <c r="B26" t="str">
        <f ca="1">IFERROR(__xludf.DUMMYFUNCTION("""COMPUTED_VALUE"""),"Ефремов")</f>
        <v>Ефремов</v>
      </c>
      <c r="C26" t="str">
        <f ca="1">IFERROR(__xludf.DUMMYFUNCTION("""COMPUTED_VALUE"""),"Святослав")</f>
        <v>Святослав</v>
      </c>
      <c r="D26" t="str">
        <f ca="1">IFERROR(__xludf.DUMMYFUNCTION("""COMPUTED_VALUE"""),"Школа 375")</f>
        <v>Школа 375</v>
      </c>
      <c r="E26" s="5">
        <f ca="1">IFERROR(__xludf.DUMMYFUNCTION("""COMPUTED_VALUE"""),3)</f>
        <v>3</v>
      </c>
      <c r="F26" s="5">
        <f ca="1">IFERROR(__xludf.DUMMYFUNCTION("""COMPUTED_VALUE"""),0)</f>
        <v>0</v>
      </c>
      <c r="G26" s="5">
        <f ca="1">IFERROR(__xludf.DUMMYFUNCTION("""COMPUTED_VALUE"""),1)</f>
        <v>1</v>
      </c>
      <c r="H26" s="5">
        <f ca="1">IFERROR(__xludf.DUMMYFUNCTION("""COMPUTED_VALUE"""),6)</f>
        <v>6</v>
      </c>
      <c r="I26" s="5">
        <f ca="1">IFERROR(__xludf.DUMMYFUNCTION("""COMPUTED_VALUE"""),3)</f>
        <v>3</v>
      </c>
      <c r="J26" s="5">
        <f ca="1">IFERROR(__xludf.DUMMYFUNCTION("""COMPUTED_VALUE"""),2)</f>
        <v>2</v>
      </c>
      <c r="K26" s="5">
        <f ca="1">IFERROR(__xludf.DUMMYFUNCTION("""COMPUTED_VALUE"""),4)</f>
        <v>4</v>
      </c>
      <c r="L26" s="5">
        <f ca="1">IFERROR(__xludf.DUMMYFUNCTION("""COMPUTED_VALUE"""),1)</f>
        <v>1</v>
      </c>
      <c r="M26">
        <f ca="1">IFERROR(__xludf.DUMMYFUNCTION("""COMPUTED_VALUE"""),20)</f>
        <v>20</v>
      </c>
      <c r="N26" s="8" t="str">
        <f ca="1">IFERROR(__xludf.DUMMYFUNCTION("""COMPUTED_VALUE"""),"Д2")</f>
        <v>Д2</v>
      </c>
    </row>
    <row r="27" spans="1:14" ht="12.45" hidden="1">
      <c r="A27" t="str">
        <f ca="1">IFERROR(__xludf.DUMMYFUNCTION("""COMPUTED_VALUE"""),"III-3-094")</f>
        <v>III-3-094</v>
      </c>
      <c r="B27" t="str">
        <f ca="1">IFERROR(__xludf.DUMMYFUNCTION("""COMPUTED_VALUE"""),"Галла")</f>
        <v>Галла</v>
      </c>
      <c r="C27" t="str">
        <f ca="1">IFERROR(__xludf.DUMMYFUNCTION("""COMPUTED_VALUE"""),"Дарья")</f>
        <v>Дарья</v>
      </c>
      <c r="D27" t="str">
        <f ca="1">IFERROR(__xludf.DUMMYFUNCTION("""COMPUTED_VALUE"""),"Лицей 366")</f>
        <v>Лицей 366</v>
      </c>
      <c r="E27" s="5">
        <f ca="1">IFERROR(__xludf.DUMMYFUNCTION("""COMPUTED_VALUE"""),3)</f>
        <v>3</v>
      </c>
      <c r="F27" s="5">
        <f ca="1">IFERROR(__xludf.DUMMYFUNCTION("""COMPUTED_VALUE"""),2)</f>
        <v>2</v>
      </c>
      <c r="G27" s="5">
        <f ca="1">IFERROR(__xludf.DUMMYFUNCTION("""COMPUTED_VALUE"""),2)</f>
        <v>2</v>
      </c>
      <c r="H27" s="5">
        <f ca="1">IFERROR(__xludf.DUMMYFUNCTION("""COMPUTED_VALUE"""),4)</f>
        <v>4</v>
      </c>
      <c r="I27" s="5">
        <f ca="1">IFERROR(__xludf.DUMMYFUNCTION("""COMPUTED_VALUE"""),3)</f>
        <v>3</v>
      </c>
      <c r="J27" s="5">
        <f ca="1">IFERROR(__xludf.DUMMYFUNCTION("""COMPUTED_VALUE"""),0)</f>
        <v>0</v>
      </c>
      <c r="K27" s="5">
        <f ca="1">IFERROR(__xludf.DUMMYFUNCTION("""COMPUTED_VALUE"""),4)</f>
        <v>4</v>
      </c>
      <c r="L27" s="5">
        <f ca="1">IFERROR(__xludf.DUMMYFUNCTION("""COMPUTED_VALUE"""),2)</f>
        <v>2</v>
      </c>
      <c r="M27">
        <f ca="1">IFERROR(__xludf.DUMMYFUNCTION("""COMPUTED_VALUE"""),20)</f>
        <v>20</v>
      </c>
      <c r="N27" s="8" t="str">
        <f ca="1">IFERROR(__xludf.DUMMYFUNCTION("""COMPUTED_VALUE"""),"Д2")</f>
        <v>Д2</v>
      </c>
    </row>
    <row r="28" spans="1:14" ht="12.45" hidden="1">
      <c r="A28" t="str">
        <f ca="1">IFERROR(__xludf.DUMMYFUNCTION("""COMPUTED_VALUE"""),"III-3-117")</f>
        <v>III-3-117</v>
      </c>
      <c r="B28" t="str">
        <f ca="1">IFERROR(__xludf.DUMMYFUNCTION("""COMPUTED_VALUE"""),"Грошков")</f>
        <v>Грошков</v>
      </c>
      <c r="C28" t="str">
        <f ca="1">IFERROR(__xludf.DUMMYFUNCTION("""COMPUTED_VALUE"""),"Иван")</f>
        <v>Иван</v>
      </c>
      <c r="D28" t="str">
        <f ca="1">IFERROR(__xludf.DUMMYFUNCTION("""COMPUTED_VALUE"""),"Школа 518")</f>
        <v>Школа 518</v>
      </c>
      <c r="E28" s="5">
        <f ca="1">IFERROR(__xludf.DUMMYFUNCTION("""COMPUTED_VALUE"""),1)</f>
        <v>1</v>
      </c>
      <c r="F28" s="5">
        <f ca="1">IFERROR(__xludf.DUMMYFUNCTION("""COMPUTED_VALUE"""),1)</f>
        <v>1</v>
      </c>
      <c r="G28" s="5">
        <f ca="1">IFERROR(__xludf.DUMMYFUNCTION("""COMPUTED_VALUE"""),3)</f>
        <v>3</v>
      </c>
      <c r="H28" s="5">
        <f ca="1">IFERROR(__xludf.DUMMYFUNCTION("""COMPUTED_VALUE"""),6)</f>
        <v>6</v>
      </c>
      <c r="I28" s="5">
        <f ca="1">IFERROR(__xludf.DUMMYFUNCTION("""COMPUTED_VALUE"""),4)</f>
        <v>4</v>
      </c>
      <c r="J28" s="5">
        <f ca="1">IFERROR(__xludf.DUMMYFUNCTION("""COMPUTED_VALUE"""),0)</f>
        <v>0</v>
      </c>
      <c r="K28" s="5">
        <f ca="1">IFERROR(__xludf.DUMMYFUNCTION("""COMPUTED_VALUE"""),4)</f>
        <v>4</v>
      </c>
      <c r="L28" s="5">
        <f ca="1">IFERROR(__xludf.DUMMYFUNCTION("""COMPUTED_VALUE"""),1)</f>
        <v>1</v>
      </c>
      <c r="M28">
        <f ca="1">IFERROR(__xludf.DUMMYFUNCTION("""COMPUTED_VALUE"""),20)</f>
        <v>20</v>
      </c>
      <c r="N28" s="8" t="str">
        <f ca="1">IFERROR(__xludf.DUMMYFUNCTION("""COMPUTED_VALUE"""),"Д2")</f>
        <v>Д2</v>
      </c>
    </row>
    <row r="29" spans="1:14" ht="12.45" hidden="1">
      <c r="A29" t="str">
        <f ca="1">IFERROR(__xludf.DUMMYFUNCTION("""COMPUTED_VALUE"""),"III-3-257")</f>
        <v>III-3-257</v>
      </c>
      <c r="B29" t="str">
        <f ca="1">IFERROR(__xludf.DUMMYFUNCTION("""COMPUTED_VALUE"""),"Кузнецов")</f>
        <v>Кузнецов</v>
      </c>
      <c r="C29" t="str">
        <f ca="1">IFERROR(__xludf.DUMMYFUNCTION("""COMPUTED_VALUE"""),"Иван")</f>
        <v>Иван</v>
      </c>
      <c r="D29" t="str">
        <f ca="1">IFERROR(__xludf.DUMMYFUNCTION("""COMPUTED_VALUE"""),"Гимназия Прогимназия 130")</f>
        <v>Гимназия Прогимназия 130</v>
      </c>
      <c r="E29" s="5">
        <f ca="1">IFERROR(__xludf.DUMMYFUNCTION("""COMPUTED_VALUE"""),0)</f>
        <v>0</v>
      </c>
      <c r="F29" s="5">
        <f ca="1">IFERROR(__xludf.DUMMYFUNCTION("""COMPUTED_VALUE"""),1)</f>
        <v>1</v>
      </c>
      <c r="G29" s="5">
        <f ca="1">IFERROR(__xludf.DUMMYFUNCTION("""COMPUTED_VALUE"""),3)</f>
        <v>3</v>
      </c>
      <c r="H29" s="5">
        <f ca="1">IFERROR(__xludf.DUMMYFUNCTION("""COMPUTED_VALUE"""),4)</f>
        <v>4</v>
      </c>
      <c r="I29" s="5">
        <f ca="1">IFERROR(__xludf.DUMMYFUNCTION("""COMPUTED_VALUE"""),5)</f>
        <v>5</v>
      </c>
      <c r="J29" s="5">
        <f ca="1">IFERROR(__xludf.DUMMYFUNCTION("""COMPUTED_VALUE"""),0)</f>
        <v>0</v>
      </c>
      <c r="K29" s="5">
        <f ca="1">IFERROR(__xludf.DUMMYFUNCTION("""COMPUTED_VALUE"""),2)</f>
        <v>2</v>
      </c>
      <c r="L29" s="5">
        <f ca="1">IFERROR(__xludf.DUMMYFUNCTION("""COMPUTED_VALUE"""),4)</f>
        <v>4</v>
      </c>
      <c r="M29">
        <f ca="1">IFERROR(__xludf.DUMMYFUNCTION("""COMPUTED_VALUE"""),19)</f>
        <v>19</v>
      </c>
      <c r="N29" s="8" t="str">
        <f ca="1">IFERROR(__xludf.DUMMYFUNCTION("""COMPUTED_VALUE"""),"Д3")</f>
        <v>Д3</v>
      </c>
    </row>
    <row r="30" spans="1:14" ht="12.45" hidden="1">
      <c r="A30" t="str">
        <f ca="1">IFERROR(__xludf.DUMMYFUNCTION("""COMPUTED_VALUE"""),"III-3-071")</f>
        <v>III-3-071</v>
      </c>
      <c r="B30" t="str">
        <f ca="1">IFERROR(__xludf.DUMMYFUNCTION("""COMPUTED_VALUE"""),"Вараксов")</f>
        <v>Вараксов</v>
      </c>
      <c r="C30" t="str">
        <f ca="1">IFERROR(__xludf.DUMMYFUNCTION("""COMPUTED_VALUE"""),"Дмитрий")</f>
        <v>Дмитрий</v>
      </c>
      <c r="D30" t="str">
        <f ca="1">IFERROR(__xludf.DUMMYFUNCTION("""COMPUTED_VALUE"""),"Лицей 101")</f>
        <v>Лицей 101</v>
      </c>
      <c r="E30" s="5">
        <f ca="1">IFERROR(__xludf.DUMMYFUNCTION("""COMPUTED_VALUE"""),3)</f>
        <v>3</v>
      </c>
      <c r="F30" s="5">
        <f ca="1">IFERROR(__xludf.DUMMYFUNCTION("""COMPUTED_VALUE"""),2)</f>
        <v>2</v>
      </c>
      <c r="G30" s="5">
        <f ca="1">IFERROR(__xludf.DUMMYFUNCTION("""COMPUTED_VALUE"""),3)</f>
        <v>3</v>
      </c>
      <c r="H30" s="5">
        <f ca="1">IFERROR(__xludf.DUMMYFUNCTION("""COMPUTED_VALUE"""),4)</f>
        <v>4</v>
      </c>
      <c r="I30" s="5">
        <f ca="1">IFERROR(__xludf.DUMMYFUNCTION("""COMPUTED_VALUE"""),5)</f>
        <v>5</v>
      </c>
      <c r="J30" s="5">
        <f ca="1">IFERROR(__xludf.DUMMYFUNCTION("""COMPUTED_VALUE"""),1)</f>
        <v>1</v>
      </c>
      <c r="K30" s="5">
        <f ca="1">IFERROR(__xludf.DUMMYFUNCTION("""COMPUTED_VALUE"""),0)</f>
        <v>0</v>
      </c>
      <c r="L30" s="5">
        <f ca="1">IFERROR(__xludf.DUMMYFUNCTION("""COMPUTED_VALUE"""),1)</f>
        <v>1</v>
      </c>
      <c r="M30">
        <f ca="1">IFERROR(__xludf.DUMMYFUNCTION("""COMPUTED_VALUE"""),19)</f>
        <v>19</v>
      </c>
      <c r="N30" s="8" t="str">
        <f ca="1">IFERROR(__xludf.DUMMYFUNCTION("""COMPUTED_VALUE"""),"Д3")</f>
        <v>Д3</v>
      </c>
    </row>
    <row r="31" spans="1:14" ht="12.45" hidden="1">
      <c r="A31" t="str">
        <f ca="1">IFERROR(__xludf.DUMMYFUNCTION("""COMPUTED_VALUE"""),"III-3-151")</f>
        <v>III-3-151</v>
      </c>
      <c r="B31" t="str">
        <f ca="1">IFERROR(__xludf.DUMMYFUNCTION("""COMPUTED_VALUE"""),"Житкова")</f>
        <v>Житкова</v>
      </c>
      <c r="C31" t="str">
        <f ca="1">IFERROR(__xludf.DUMMYFUNCTION("""COMPUTED_VALUE"""),"Софья")</f>
        <v>Софья</v>
      </c>
      <c r="D31" t="str">
        <f ca="1">IFERROR(__xludf.DUMMYFUNCTION("""COMPUTED_VALUE"""),"Лицей 366")</f>
        <v>Лицей 366</v>
      </c>
      <c r="E31" s="5">
        <f ca="1">IFERROR(__xludf.DUMMYFUNCTION("""COMPUTED_VALUE"""),1)</f>
        <v>1</v>
      </c>
      <c r="F31" s="5">
        <f ca="1">IFERROR(__xludf.DUMMYFUNCTION("""COMPUTED_VALUE"""),5)</f>
        <v>5</v>
      </c>
      <c r="G31" s="5">
        <f ca="1">IFERROR(__xludf.DUMMYFUNCTION("""COMPUTED_VALUE"""),1)</f>
        <v>1</v>
      </c>
      <c r="H31" s="5">
        <f ca="1">IFERROR(__xludf.DUMMYFUNCTION("""COMPUTED_VALUE"""),4)</f>
        <v>4</v>
      </c>
      <c r="I31" s="5">
        <f ca="1">IFERROR(__xludf.DUMMYFUNCTION("""COMPUTED_VALUE"""),5)</f>
        <v>5</v>
      </c>
      <c r="J31" s="5">
        <f ca="1">IFERROR(__xludf.DUMMYFUNCTION("""COMPUTED_VALUE"""),0)</f>
        <v>0</v>
      </c>
      <c r="K31" s="5">
        <f ca="1">IFERROR(__xludf.DUMMYFUNCTION("""COMPUTED_VALUE"""),2)</f>
        <v>2</v>
      </c>
      <c r="L31" s="5">
        <f ca="1">IFERROR(__xludf.DUMMYFUNCTION("""COMPUTED_VALUE"""),1)</f>
        <v>1</v>
      </c>
      <c r="M31">
        <f ca="1">IFERROR(__xludf.DUMMYFUNCTION("""COMPUTED_VALUE"""),19)</f>
        <v>19</v>
      </c>
      <c r="N31" s="8" t="str">
        <f ca="1">IFERROR(__xludf.DUMMYFUNCTION("""COMPUTED_VALUE"""),"Д3")</f>
        <v>Д3</v>
      </c>
    </row>
    <row r="32" spans="1:14" ht="12.45" hidden="1">
      <c r="A32" t="str">
        <f ca="1">IFERROR(__xludf.DUMMYFUNCTION("""COMPUTED_VALUE"""),"V-3-422")</f>
        <v>V-3-422</v>
      </c>
      <c r="B32" t="str">
        <f ca="1">IFERROR(__xludf.DUMMYFUNCTION("""COMPUTED_VALUE"""),"Порошина")</f>
        <v>Порошина</v>
      </c>
      <c r="C32" t="str">
        <f ca="1">IFERROR(__xludf.DUMMYFUNCTION("""COMPUTED_VALUE"""),"Диана")</f>
        <v>Диана</v>
      </c>
      <c r="D32" t="str">
        <f ca="1">IFERROR(__xludf.DUMMYFUNCTION("""COMPUTED_VALUE"""),"Школа 297")</f>
        <v>Школа 297</v>
      </c>
      <c r="E32" s="5">
        <f ca="1">IFERROR(__xludf.DUMMYFUNCTION("""COMPUTED_VALUE"""),3)</f>
        <v>3</v>
      </c>
      <c r="F32" s="5">
        <f ca="1">IFERROR(__xludf.DUMMYFUNCTION("""COMPUTED_VALUE"""),0)</f>
        <v>0</v>
      </c>
      <c r="G32" s="5">
        <f ca="1">IFERROR(__xludf.DUMMYFUNCTION("""COMPUTED_VALUE"""),2)</f>
        <v>2</v>
      </c>
      <c r="H32" s="5">
        <f ca="1">IFERROR(__xludf.DUMMYFUNCTION("""COMPUTED_VALUE"""),0)</f>
        <v>0</v>
      </c>
      <c r="I32" s="5">
        <f ca="1">IFERROR(__xludf.DUMMYFUNCTION("""COMPUTED_VALUE"""),5)</f>
        <v>5</v>
      </c>
      <c r="J32" s="5">
        <f ca="1">IFERROR(__xludf.DUMMYFUNCTION("""COMPUTED_VALUE"""),4)</f>
        <v>4</v>
      </c>
      <c r="K32" s="5">
        <f ca="1">IFERROR(__xludf.DUMMYFUNCTION("""COMPUTED_VALUE"""),4)</f>
        <v>4</v>
      </c>
      <c r="L32" s="5">
        <f ca="1">IFERROR(__xludf.DUMMYFUNCTION("""COMPUTED_VALUE"""),0)</f>
        <v>0</v>
      </c>
      <c r="M32">
        <f ca="1">IFERROR(__xludf.DUMMYFUNCTION("""COMPUTED_VALUE"""),18)</f>
        <v>18</v>
      </c>
      <c r="N32" s="8" t="str">
        <f ca="1">IFERROR(__xludf.DUMMYFUNCTION("""COMPUTED_VALUE"""),"Д3")</f>
        <v>Д3</v>
      </c>
    </row>
    <row r="33" spans="1:14" ht="12.45" hidden="1">
      <c r="A33" t="str">
        <f ca="1">IFERROR(__xludf.DUMMYFUNCTION("""COMPUTED_VALUE"""),"III-3-127")</f>
        <v>III-3-127</v>
      </c>
      <c r="B33" t="str">
        <f ca="1">IFERROR(__xludf.DUMMYFUNCTION("""COMPUTED_VALUE"""),"Деринский")</f>
        <v>Деринский</v>
      </c>
      <c r="C33" t="str">
        <f ca="1">IFERROR(__xludf.DUMMYFUNCTION("""COMPUTED_VALUE"""),"Максим")</f>
        <v>Максим</v>
      </c>
      <c r="D33" t="str">
        <f ca="1">IFERROR(__xludf.DUMMYFUNCTION("""COMPUTED_VALUE"""),"Лицей 344")</f>
        <v>Лицей 344</v>
      </c>
      <c r="E33" s="5">
        <f ca="1">IFERROR(__xludf.DUMMYFUNCTION("""COMPUTED_VALUE"""),3)</f>
        <v>3</v>
      </c>
      <c r="F33" s="5">
        <f ca="1">IFERROR(__xludf.DUMMYFUNCTION("""COMPUTED_VALUE"""),1)</f>
        <v>1</v>
      </c>
      <c r="G33" s="5">
        <f ca="1">IFERROR(__xludf.DUMMYFUNCTION("""COMPUTED_VALUE"""),3)</f>
        <v>3</v>
      </c>
      <c r="H33" s="5">
        <f ca="1">IFERROR(__xludf.DUMMYFUNCTION("""COMPUTED_VALUE"""),2)</f>
        <v>2</v>
      </c>
      <c r="I33" s="5">
        <f ca="1">IFERROR(__xludf.DUMMYFUNCTION("""COMPUTED_VALUE"""),3)</f>
        <v>3</v>
      </c>
      <c r="J33" s="5">
        <f ca="1">IFERROR(__xludf.DUMMYFUNCTION("""COMPUTED_VALUE"""),4)</f>
        <v>4</v>
      </c>
      <c r="K33" s="5">
        <f ca="1">IFERROR(__xludf.DUMMYFUNCTION("""COMPUTED_VALUE"""),2)</f>
        <v>2</v>
      </c>
      <c r="L33" s="5">
        <f ca="1">IFERROR(__xludf.DUMMYFUNCTION("""COMPUTED_VALUE"""),0)</f>
        <v>0</v>
      </c>
      <c r="M33">
        <f ca="1">IFERROR(__xludf.DUMMYFUNCTION("""COMPUTED_VALUE"""),18)</f>
        <v>18</v>
      </c>
      <c r="N33" s="8" t="str">
        <f ca="1">IFERROR(__xludf.DUMMYFUNCTION("""COMPUTED_VALUE"""),"Д3")</f>
        <v>Д3</v>
      </c>
    </row>
    <row r="34" spans="1:14" ht="12.45" hidden="1">
      <c r="A34" t="str">
        <f ca="1">IFERROR(__xludf.DUMMYFUNCTION("""COMPUTED_VALUE"""),"III-3-249")</f>
        <v>III-3-249</v>
      </c>
      <c r="B34" t="str">
        <f ca="1">IFERROR(__xludf.DUMMYFUNCTION("""COMPUTED_VALUE"""),"Крийт")</f>
        <v>Крийт</v>
      </c>
      <c r="C34" t="str">
        <f ca="1">IFERROR(__xludf.DUMMYFUNCTION("""COMPUTED_VALUE"""),"Вероника")</f>
        <v>Вероника</v>
      </c>
      <c r="D34" t="str">
        <f ca="1">IFERROR(__xludf.DUMMYFUNCTION("""COMPUTED_VALUE"""),"Школа 578")</f>
        <v>Школа 578</v>
      </c>
      <c r="E34" s="5">
        <f ca="1">IFERROR(__xludf.DUMMYFUNCTION("""COMPUTED_VALUE"""),0)</f>
        <v>0</v>
      </c>
      <c r="F34" s="5">
        <f ca="1">IFERROR(__xludf.DUMMYFUNCTION("""COMPUTED_VALUE"""),1)</f>
        <v>1</v>
      </c>
      <c r="G34" s="5">
        <f ca="1">IFERROR(__xludf.DUMMYFUNCTION("""COMPUTED_VALUE"""),3)</f>
        <v>3</v>
      </c>
      <c r="H34" s="5">
        <f ca="1">IFERROR(__xludf.DUMMYFUNCTION("""COMPUTED_VALUE"""),6)</f>
        <v>6</v>
      </c>
      <c r="I34" s="5">
        <f ca="1">IFERROR(__xludf.DUMMYFUNCTION("""COMPUTED_VALUE"""),3)</f>
        <v>3</v>
      </c>
      <c r="J34" s="5">
        <f ca="1">IFERROR(__xludf.DUMMYFUNCTION("""COMPUTED_VALUE"""),0)</f>
        <v>0</v>
      </c>
      <c r="K34" s="5">
        <f ca="1">IFERROR(__xludf.DUMMYFUNCTION("""COMPUTED_VALUE"""),3)</f>
        <v>3</v>
      </c>
      <c r="L34" s="5">
        <f ca="1">IFERROR(__xludf.DUMMYFUNCTION("""COMPUTED_VALUE"""),2)</f>
        <v>2</v>
      </c>
      <c r="M34">
        <f ca="1">IFERROR(__xludf.DUMMYFUNCTION("""COMPUTED_VALUE"""),18)</f>
        <v>18</v>
      </c>
      <c r="N34" s="8" t="str">
        <f ca="1">IFERROR(__xludf.DUMMYFUNCTION("""COMPUTED_VALUE"""),"Д3")</f>
        <v>Д3</v>
      </c>
    </row>
    <row r="35" spans="1:14" ht="12.45" hidden="1">
      <c r="A35" t="str">
        <f ca="1">IFERROR(__xludf.DUMMYFUNCTION("""COMPUTED_VALUE"""),"V-3-548")</f>
        <v>V-3-548</v>
      </c>
      <c r="B35" t="str">
        <f ca="1">IFERROR(__xludf.DUMMYFUNCTION("""COMPUTED_VALUE"""),"Фоменко")</f>
        <v>Фоменко</v>
      </c>
      <c r="C35" t="str">
        <f ca="1">IFERROR(__xludf.DUMMYFUNCTION("""COMPUTED_VALUE"""),"Фёдор")</f>
        <v>Фёдор</v>
      </c>
      <c r="D35" t="str">
        <f ca="1">IFERROR(__xludf.DUMMYFUNCTION("""COMPUTED_VALUE"""),"Школа 246")</f>
        <v>Школа 246</v>
      </c>
      <c r="E35" s="5">
        <f ca="1">IFERROR(__xludf.DUMMYFUNCTION("""COMPUTED_VALUE"""),3)</f>
        <v>3</v>
      </c>
      <c r="F35" s="5">
        <f ca="1">IFERROR(__xludf.DUMMYFUNCTION("""COMPUTED_VALUE"""),2)</f>
        <v>2</v>
      </c>
      <c r="G35" s="5">
        <f ca="1">IFERROR(__xludf.DUMMYFUNCTION("""COMPUTED_VALUE"""),3)</f>
        <v>3</v>
      </c>
      <c r="H35" s="5">
        <f ca="1">IFERROR(__xludf.DUMMYFUNCTION("""COMPUTED_VALUE"""),4)</f>
        <v>4</v>
      </c>
      <c r="I35" s="5">
        <f ca="1">IFERROR(__xludf.DUMMYFUNCTION("""COMPUTED_VALUE"""),1)</f>
        <v>1</v>
      </c>
      <c r="J35" s="5">
        <f ca="1">IFERROR(__xludf.DUMMYFUNCTION("""COMPUTED_VALUE"""),0)</f>
        <v>0</v>
      </c>
      <c r="K35" s="5">
        <f ca="1">IFERROR(__xludf.DUMMYFUNCTION("""COMPUTED_VALUE"""),4)</f>
        <v>4</v>
      </c>
      <c r="L35" s="5">
        <f ca="1">IFERROR(__xludf.DUMMYFUNCTION("""COMPUTED_VALUE"""),1)</f>
        <v>1</v>
      </c>
      <c r="M35">
        <f ca="1">IFERROR(__xludf.DUMMYFUNCTION("""COMPUTED_VALUE"""),18)</f>
        <v>18</v>
      </c>
      <c r="N35" s="8" t="str">
        <f ca="1">IFERROR(__xludf.DUMMYFUNCTION("""COMPUTED_VALUE"""),"Д3")</f>
        <v>Д3</v>
      </c>
    </row>
    <row r="36" spans="1:14" ht="12.45" hidden="1">
      <c r="A36" t="str">
        <f ca="1">IFERROR(__xludf.DUMMYFUNCTION("""COMPUTED_VALUE"""),"V-3-545")</f>
        <v>V-3-545</v>
      </c>
      <c r="B36" t="str">
        <f ca="1">IFERROR(__xludf.DUMMYFUNCTION("""COMPUTED_VALUE"""),"Фиалковская")</f>
        <v>Фиалковская</v>
      </c>
      <c r="C36" t="str">
        <f ca="1">IFERROR(__xludf.DUMMYFUNCTION("""COMPUTED_VALUE"""),"Мария")</f>
        <v>Мария</v>
      </c>
      <c r="D36" t="str">
        <f ca="1">IFERROR(__xludf.DUMMYFUNCTION("""COMPUTED_VALUE"""),"Гимназия Земля и Вселенная 642")</f>
        <v>Гимназия Земля и Вселенная 642</v>
      </c>
      <c r="E36" s="5">
        <f ca="1">IFERROR(__xludf.DUMMYFUNCTION("""COMPUTED_VALUE"""),1)</f>
        <v>1</v>
      </c>
      <c r="F36" s="5">
        <f ca="1">IFERROR(__xludf.DUMMYFUNCTION("""COMPUTED_VALUE"""),1)</f>
        <v>1</v>
      </c>
      <c r="G36" s="5">
        <f ca="1">IFERROR(__xludf.DUMMYFUNCTION("""COMPUTED_VALUE"""),3)</f>
        <v>3</v>
      </c>
      <c r="H36" s="5">
        <f ca="1">IFERROR(__xludf.DUMMYFUNCTION("""COMPUTED_VALUE"""),6)</f>
        <v>6</v>
      </c>
      <c r="I36" s="5">
        <f ca="1">IFERROR(__xludf.DUMMYFUNCTION("""COMPUTED_VALUE"""),1)</f>
        <v>1</v>
      </c>
      <c r="J36" s="5">
        <f ca="1">IFERROR(__xludf.DUMMYFUNCTION("""COMPUTED_VALUE"""),1)</f>
        <v>1</v>
      </c>
      <c r="K36" s="5">
        <f ca="1">IFERROR(__xludf.DUMMYFUNCTION("""COMPUTED_VALUE"""),4)</f>
        <v>4</v>
      </c>
      <c r="L36" s="5">
        <f ca="1">IFERROR(__xludf.DUMMYFUNCTION("""COMPUTED_VALUE"""),1)</f>
        <v>1</v>
      </c>
      <c r="M36">
        <f ca="1">IFERROR(__xludf.DUMMYFUNCTION("""COMPUTED_VALUE"""),18)</f>
        <v>18</v>
      </c>
      <c r="N36" s="8" t="str">
        <f ca="1">IFERROR(__xludf.DUMMYFUNCTION("""COMPUTED_VALUE"""),"Д3")</f>
        <v>Д3</v>
      </c>
    </row>
    <row r="37" spans="1:14" ht="12.45" hidden="1">
      <c r="A37" t="str">
        <f ca="1">IFERROR(__xludf.DUMMYFUNCTION("""COMPUTED_VALUE"""),"V-3-302")</f>
        <v>V-3-302</v>
      </c>
      <c r="B37" t="str">
        <f ca="1">IFERROR(__xludf.DUMMYFUNCTION("""COMPUTED_VALUE"""),"Луперьева")</f>
        <v>Луперьева</v>
      </c>
      <c r="C37" t="str">
        <f ca="1">IFERROR(__xludf.DUMMYFUNCTION("""COMPUTED_VALUE"""),"Ульяна")</f>
        <v>Ульяна</v>
      </c>
      <c r="D37" t="str">
        <f ca="1">IFERROR(__xludf.DUMMYFUNCTION("""COMPUTED_VALUE"""),"Школа 335")</f>
        <v>Школа 335</v>
      </c>
      <c r="E37" s="5">
        <f ca="1">IFERROR(__xludf.DUMMYFUNCTION("""COMPUTED_VALUE"""),1)</f>
        <v>1</v>
      </c>
      <c r="F37" s="5">
        <f ca="1">IFERROR(__xludf.DUMMYFUNCTION("""COMPUTED_VALUE"""),2)</f>
        <v>2</v>
      </c>
      <c r="G37" s="5">
        <f ca="1">IFERROR(__xludf.DUMMYFUNCTION("""COMPUTED_VALUE"""),2)</f>
        <v>2</v>
      </c>
      <c r="H37" s="5">
        <f ca="1">IFERROR(__xludf.DUMMYFUNCTION("""COMPUTED_VALUE"""),6)</f>
        <v>6</v>
      </c>
      <c r="I37" s="5">
        <f ca="1">IFERROR(__xludf.DUMMYFUNCTION("""COMPUTED_VALUE"""),0)</f>
        <v>0</v>
      </c>
      <c r="J37" s="5">
        <f ca="1">IFERROR(__xludf.DUMMYFUNCTION("""COMPUTED_VALUE"""),3)</f>
        <v>3</v>
      </c>
      <c r="K37" s="5">
        <f ca="1">IFERROR(__xludf.DUMMYFUNCTION("""COMPUTED_VALUE"""),4)</f>
        <v>4</v>
      </c>
      <c r="L37" s="5">
        <f ca="1">IFERROR(__xludf.DUMMYFUNCTION("""COMPUTED_VALUE"""),0)</f>
        <v>0</v>
      </c>
      <c r="M37">
        <f ca="1">IFERROR(__xludf.DUMMYFUNCTION("""COMPUTED_VALUE"""),18)</f>
        <v>18</v>
      </c>
      <c r="N37" s="8" t="str">
        <f ca="1">IFERROR(__xludf.DUMMYFUNCTION("""COMPUTED_VALUE"""),"Д3")</f>
        <v>Д3</v>
      </c>
    </row>
    <row r="38" spans="1:14" ht="12.45" hidden="1">
      <c r="A38" t="str">
        <f ca="1">IFERROR(__xludf.DUMMYFUNCTION("""COMPUTED_VALUE"""),"V-3-531")</f>
        <v>V-3-531</v>
      </c>
      <c r="B38" t="str">
        <f ca="1">IFERROR(__xludf.DUMMYFUNCTION("""COMPUTED_VALUE"""),"Тюльпинов")</f>
        <v>Тюльпинов</v>
      </c>
      <c r="C38" t="str">
        <f ca="1">IFERROR(__xludf.DUMMYFUNCTION("""COMPUTED_VALUE"""),"Константин")</f>
        <v>Константин</v>
      </c>
      <c r="D38" t="str">
        <f ca="1">IFERROR(__xludf.DUMMYFUNCTION("""COMPUTED_VALUE"""),"Школа 111")</f>
        <v>Школа 111</v>
      </c>
      <c r="E38" s="5">
        <f ca="1">IFERROR(__xludf.DUMMYFUNCTION("""COMPUTED_VALUE"""),1)</f>
        <v>1</v>
      </c>
      <c r="F38" s="5">
        <f ca="1">IFERROR(__xludf.DUMMYFUNCTION("""COMPUTED_VALUE"""),1)</f>
        <v>1</v>
      </c>
      <c r="G38" s="5">
        <f ca="1">IFERROR(__xludf.DUMMYFUNCTION("""COMPUTED_VALUE"""),3)</f>
        <v>3</v>
      </c>
      <c r="H38" s="5">
        <f ca="1">IFERROR(__xludf.DUMMYFUNCTION("""COMPUTED_VALUE"""),6)</f>
        <v>6</v>
      </c>
      <c r="I38" s="5">
        <f ca="1">IFERROR(__xludf.DUMMYFUNCTION("""COMPUTED_VALUE"""),0)</f>
        <v>0</v>
      </c>
      <c r="J38" s="5">
        <f ca="1">IFERROR(__xludf.DUMMYFUNCTION("""COMPUTED_VALUE"""),4)</f>
        <v>4</v>
      </c>
      <c r="K38" s="5">
        <f ca="1">IFERROR(__xludf.DUMMYFUNCTION("""COMPUTED_VALUE"""),3)</f>
        <v>3</v>
      </c>
      <c r="L38" s="5">
        <f ca="1">IFERROR(__xludf.DUMMYFUNCTION("""COMPUTED_VALUE"""),0)</f>
        <v>0</v>
      </c>
      <c r="M38">
        <f ca="1">IFERROR(__xludf.DUMMYFUNCTION("""COMPUTED_VALUE"""),18)</f>
        <v>18</v>
      </c>
      <c r="N38" s="8" t="str">
        <f ca="1">IFERROR(__xludf.DUMMYFUNCTION("""COMPUTED_VALUE"""),"Д3")</f>
        <v>Д3</v>
      </c>
    </row>
    <row r="39" spans="1:14" ht="12.45" hidden="1">
      <c r="A39" t="str">
        <f ca="1">IFERROR(__xludf.DUMMYFUNCTION("""COMPUTED_VALUE"""),"V-3-556")</f>
        <v>V-3-556</v>
      </c>
      <c r="B39" t="str">
        <f ca="1">IFERROR(__xludf.DUMMYFUNCTION("""COMPUTED_VALUE"""),"Харрасов")</f>
        <v>Харрасов</v>
      </c>
      <c r="C39" t="str">
        <f ca="1">IFERROR(__xludf.DUMMYFUNCTION("""COMPUTED_VALUE"""),"Дмитрий")</f>
        <v>Дмитрий</v>
      </c>
      <c r="D39" t="str">
        <f ca="1">IFERROR(__xludf.DUMMYFUNCTION("""COMPUTED_VALUE"""),"Школа 481")</f>
        <v>Школа 481</v>
      </c>
      <c r="E39" s="5">
        <f ca="1">IFERROR(__xludf.DUMMYFUNCTION("""COMPUTED_VALUE"""),3)</f>
        <v>3</v>
      </c>
      <c r="F39" s="5">
        <f ca="1">IFERROR(__xludf.DUMMYFUNCTION("""COMPUTED_VALUE"""),5)</f>
        <v>5</v>
      </c>
      <c r="G39" s="5">
        <f ca="1">IFERROR(__xludf.DUMMYFUNCTION("""COMPUTED_VALUE"""),2)</f>
        <v>2</v>
      </c>
      <c r="H39" s="5">
        <f ca="1">IFERROR(__xludf.DUMMYFUNCTION("""COMPUTED_VALUE"""),2)</f>
        <v>2</v>
      </c>
      <c r="I39" s="5">
        <f ca="1">IFERROR(__xludf.DUMMYFUNCTION("""COMPUTED_VALUE"""),0)</f>
        <v>0</v>
      </c>
      <c r="J39" s="5">
        <f ca="1">IFERROR(__xludf.DUMMYFUNCTION("""COMPUTED_VALUE"""),1)</f>
        <v>1</v>
      </c>
      <c r="K39" s="5">
        <f ca="1">IFERROR(__xludf.DUMMYFUNCTION("""COMPUTED_VALUE"""),4)</f>
        <v>4</v>
      </c>
      <c r="L39" s="5">
        <f ca="1">IFERROR(__xludf.DUMMYFUNCTION("""COMPUTED_VALUE"""),1)</f>
        <v>1</v>
      </c>
      <c r="M39">
        <f ca="1">IFERROR(__xludf.DUMMYFUNCTION("""COMPUTED_VALUE"""),18)</f>
        <v>18</v>
      </c>
      <c r="N39" s="8" t="str">
        <f ca="1">IFERROR(__xludf.DUMMYFUNCTION("""COMPUTED_VALUE"""),"Д3")</f>
        <v>Д3</v>
      </c>
    </row>
    <row r="40" spans="1:14" ht="12.45" hidden="1">
      <c r="A40" t="str">
        <f ca="1">IFERROR(__xludf.DUMMYFUNCTION("""COMPUTED_VALUE"""),"V-3-381")</f>
        <v>V-3-381</v>
      </c>
      <c r="B40" t="str">
        <f ca="1">IFERROR(__xludf.DUMMYFUNCTION("""COMPUTED_VALUE"""),"Огай")</f>
        <v>Огай</v>
      </c>
      <c r="C40" t="str">
        <f ca="1">IFERROR(__xludf.DUMMYFUNCTION("""COMPUTED_VALUE"""),"Даниил")</f>
        <v>Даниил</v>
      </c>
      <c r="D40" t="str">
        <f ca="1">IFERROR(__xludf.DUMMYFUNCTION("""COMPUTED_VALUE"""),"Лицей 470")</f>
        <v>Лицей 470</v>
      </c>
      <c r="E40" s="5">
        <f ca="1">IFERROR(__xludf.DUMMYFUNCTION("""COMPUTED_VALUE"""),0)</f>
        <v>0</v>
      </c>
      <c r="F40" s="5">
        <f ca="1">IFERROR(__xludf.DUMMYFUNCTION("""COMPUTED_VALUE"""),5)</f>
        <v>5</v>
      </c>
      <c r="G40" s="5">
        <f ca="1">IFERROR(__xludf.DUMMYFUNCTION("""COMPUTED_VALUE"""),2)</f>
        <v>2</v>
      </c>
      <c r="H40" s="5">
        <f ca="1">IFERROR(__xludf.DUMMYFUNCTION("""COMPUTED_VALUE"""),2)</f>
        <v>2</v>
      </c>
      <c r="I40" s="5">
        <f ca="1">IFERROR(__xludf.DUMMYFUNCTION("""COMPUTED_VALUE"""),5)</f>
        <v>5</v>
      </c>
      <c r="J40" s="5">
        <f ca="1">IFERROR(__xludf.DUMMYFUNCTION("""COMPUTED_VALUE"""),2)</f>
        <v>2</v>
      </c>
      <c r="K40" s="5">
        <f ca="1">IFERROR(__xludf.DUMMYFUNCTION("""COMPUTED_VALUE"""),1)</f>
        <v>1</v>
      </c>
      <c r="L40" s="5">
        <f ca="1">IFERROR(__xludf.DUMMYFUNCTION("""COMPUTED_VALUE"""),0)</f>
        <v>0</v>
      </c>
      <c r="M40">
        <f ca="1">IFERROR(__xludf.DUMMYFUNCTION("""COMPUTED_VALUE"""),17)</f>
        <v>17</v>
      </c>
      <c r="N40" s="8" t="str">
        <f ca="1">IFERROR(__xludf.DUMMYFUNCTION("""COMPUTED_VALUE"""),"Д3")</f>
        <v>Д3</v>
      </c>
    </row>
    <row r="41" spans="1:14" ht="12.45" hidden="1">
      <c r="A41" t="str">
        <f ca="1">IFERROR(__xludf.DUMMYFUNCTION("""COMPUTED_VALUE"""),"III-3-231")</f>
        <v>III-3-231</v>
      </c>
      <c r="B41" t="str">
        <f ca="1">IFERROR(__xludf.DUMMYFUNCTION("""COMPUTED_VALUE"""),"Кондратьев")</f>
        <v>Кондратьев</v>
      </c>
      <c r="C41" t="str">
        <f ca="1">IFERROR(__xludf.DUMMYFUNCTION("""COMPUTED_VALUE"""),"Константин")</f>
        <v>Константин</v>
      </c>
      <c r="D41" t="str">
        <f ca="1">IFERROR(__xludf.DUMMYFUNCTION("""COMPUTED_VALUE"""),"Школа 643")</f>
        <v>Школа 643</v>
      </c>
      <c r="E41" s="5">
        <f ca="1">IFERROR(__xludf.DUMMYFUNCTION("""COMPUTED_VALUE"""),3)</f>
        <v>3</v>
      </c>
      <c r="F41" s="5">
        <f ca="1">IFERROR(__xludf.DUMMYFUNCTION("""COMPUTED_VALUE"""),0)</f>
        <v>0</v>
      </c>
      <c r="G41" s="5">
        <f ca="1">IFERROR(__xludf.DUMMYFUNCTION("""COMPUTED_VALUE"""),1)</f>
        <v>1</v>
      </c>
      <c r="H41" s="5">
        <f ca="1">IFERROR(__xludf.DUMMYFUNCTION("""COMPUTED_VALUE"""),0)</f>
        <v>0</v>
      </c>
      <c r="I41" s="5">
        <f ca="1">IFERROR(__xludf.DUMMYFUNCTION("""COMPUTED_VALUE"""),4)</f>
        <v>4</v>
      </c>
      <c r="J41" s="5">
        <f ca="1">IFERROR(__xludf.DUMMYFUNCTION("""COMPUTED_VALUE"""),7)</f>
        <v>7</v>
      </c>
      <c r="K41" s="5">
        <f ca="1">IFERROR(__xludf.DUMMYFUNCTION("""COMPUTED_VALUE"""),2)</f>
        <v>2</v>
      </c>
      <c r="L41" s="5">
        <f ca="1">IFERROR(__xludf.DUMMYFUNCTION("""COMPUTED_VALUE"""),0)</f>
        <v>0</v>
      </c>
      <c r="M41">
        <f ca="1">IFERROR(__xludf.DUMMYFUNCTION("""COMPUTED_VALUE"""),17)</f>
        <v>17</v>
      </c>
      <c r="N41" s="8" t="str">
        <f ca="1">IFERROR(__xludf.DUMMYFUNCTION("""COMPUTED_VALUE"""),"Д3")</f>
        <v>Д3</v>
      </c>
    </row>
    <row r="42" spans="1:14" ht="12.45" hidden="1">
      <c r="A42" t="str">
        <f ca="1">IFERROR(__xludf.DUMMYFUNCTION("""COMPUTED_VALUE"""),"III-3-016")</f>
        <v>III-3-016</v>
      </c>
      <c r="B42" t="str">
        <f ca="1">IFERROR(__xludf.DUMMYFUNCTION("""COMPUTED_VALUE"""),"Андреев")</f>
        <v>Андреев</v>
      </c>
      <c r="C42" t="str">
        <f ca="1">IFERROR(__xludf.DUMMYFUNCTION("""COMPUTED_VALUE"""),"Артём")</f>
        <v>Артём</v>
      </c>
      <c r="D42" t="str">
        <f ca="1">IFERROR(__xludf.DUMMYFUNCTION("""COMPUTED_VALUE"""),"Школа 643")</f>
        <v>Школа 643</v>
      </c>
      <c r="E42" s="5">
        <f ca="1">IFERROR(__xludf.DUMMYFUNCTION("""COMPUTED_VALUE"""),1)</f>
        <v>1</v>
      </c>
      <c r="F42" s="5">
        <f ca="1">IFERROR(__xludf.DUMMYFUNCTION("""COMPUTED_VALUE"""),1)</f>
        <v>1</v>
      </c>
      <c r="G42" s="5">
        <f ca="1">IFERROR(__xludf.DUMMYFUNCTION("""COMPUTED_VALUE"""),2)</f>
        <v>2</v>
      </c>
      <c r="H42" s="5">
        <f ca="1">IFERROR(__xludf.DUMMYFUNCTION("""COMPUTED_VALUE"""),6)</f>
        <v>6</v>
      </c>
      <c r="I42" s="5">
        <f ca="1">IFERROR(__xludf.DUMMYFUNCTION("""COMPUTED_VALUE"""),2)</f>
        <v>2</v>
      </c>
      <c r="J42" s="5">
        <f ca="1">IFERROR(__xludf.DUMMYFUNCTION("""COMPUTED_VALUE"""),2)</f>
        <v>2</v>
      </c>
      <c r="K42" s="5">
        <f ca="1">IFERROR(__xludf.DUMMYFUNCTION("""COMPUTED_VALUE"""),2)</f>
        <v>2</v>
      </c>
      <c r="L42" s="5">
        <f ca="1">IFERROR(__xludf.DUMMYFUNCTION("""COMPUTED_VALUE"""),1)</f>
        <v>1</v>
      </c>
      <c r="M42">
        <f ca="1">IFERROR(__xludf.DUMMYFUNCTION("""COMPUTED_VALUE"""),17)</f>
        <v>17</v>
      </c>
      <c r="N42" s="8" t="str">
        <f ca="1">IFERROR(__xludf.DUMMYFUNCTION("""COMPUTED_VALUE"""),"Д3")</f>
        <v>Д3</v>
      </c>
    </row>
    <row r="43" spans="1:14" ht="12.45" hidden="1">
      <c r="A43" t="str">
        <f ca="1">IFERROR(__xludf.DUMMYFUNCTION("""COMPUTED_VALUE"""),"III-3-092")</f>
        <v>III-3-092</v>
      </c>
      <c r="B43" t="str">
        <f ca="1">IFERROR(__xludf.DUMMYFUNCTION("""COMPUTED_VALUE"""),"Гадеева")</f>
        <v>Гадеева</v>
      </c>
      <c r="C43" t="str">
        <f ca="1">IFERROR(__xludf.DUMMYFUNCTION("""COMPUTED_VALUE"""),"Диана")</f>
        <v>Диана</v>
      </c>
      <c r="D43" t="str">
        <f ca="1">IFERROR(__xludf.DUMMYFUNCTION("""COMPUTED_VALUE"""),"Школа 1")</f>
        <v>Школа 1</v>
      </c>
      <c r="E43" s="5">
        <f ca="1">IFERROR(__xludf.DUMMYFUNCTION("""COMPUTED_VALUE"""),0)</f>
        <v>0</v>
      </c>
      <c r="F43" s="5">
        <f ca="1">IFERROR(__xludf.DUMMYFUNCTION("""COMPUTED_VALUE"""),5)</f>
        <v>5</v>
      </c>
      <c r="G43" s="5">
        <f ca="1">IFERROR(__xludf.DUMMYFUNCTION("""COMPUTED_VALUE"""),3)</f>
        <v>3</v>
      </c>
      <c r="H43" s="5">
        <f ca="1">IFERROR(__xludf.DUMMYFUNCTION("""COMPUTED_VALUE"""),4)</f>
        <v>4</v>
      </c>
      <c r="I43" s="5">
        <f ca="1">IFERROR(__xludf.DUMMYFUNCTION("""COMPUTED_VALUE"""),0)</f>
        <v>0</v>
      </c>
      <c r="J43" s="5">
        <f ca="1">IFERROR(__xludf.DUMMYFUNCTION("""COMPUTED_VALUE"""),2)</f>
        <v>2</v>
      </c>
      <c r="K43" s="5">
        <f ca="1">IFERROR(__xludf.DUMMYFUNCTION("""COMPUTED_VALUE"""),3)</f>
        <v>3</v>
      </c>
      <c r="L43" s="5">
        <f ca="1">IFERROR(__xludf.DUMMYFUNCTION("""COMPUTED_VALUE"""),0)</f>
        <v>0</v>
      </c>
      <c r="M43">
        <f ca="1">IFERROR(__xludf.DUMMYFUNCTION("""COMPUTED_VALUE"""),17)</f>
        <v>17</v>
      </c>
      <c r="N43" s="8" t="str">
        <f ca="1">IFERROR(__xludf.DUMMYFUNCTION("""COMPUTED_VALUE"""),"Д3")</f>
        <v>Д3</v>
      </c>
    </row>
    <row r="44" spans="1:14" ht="12.45" hidden="1">
      <c r="A44" t="str">
        <f ca="1">IFERROR(__xludf.DUMMYFUNCTION("""COMPUTED_VALUE"""),"III-3-065")</f>
        <v>III-3-065</v>
      </c>
      <c r="B44" t="str">
        <f ca="1">IFERROR(__xludf.DUMMYFUNCTION("""COMPUTED_VALUE"""),"Буреев")</f>
        <v>Буреев</v>
      </c>
      <c r="C44" t="str">
        <f ca="1">IFERROR(__xludf.DUMMYFUNCTION("""COMPUTED_VALUE"""),"Владислав")</f>
        <v>Владислав</v>
      </c>
      <c r="D44" t="str">
        <f ca="1">IFERROR(__xludf.DUMMYFUNCTION("""COMPUTED_VALUE"""),"Школа 509")</f>
        <v>Школа 509</v>
      </c>
      <c r="E44" s="5">
        <f ca="1">IFERROR(__xludf.DUMMYFUNCTION("""COMPUTED_VALUE"""),0)</f>
        <v>0</v>
      </c>
      <c r="F44" s="5">
        <f ca="1">IFERROR(__xludf.DUMMYFUNCTION("""COMPUTED_VALUE"""),1)</f>
        <v>1</v>
      </c>
      <c r="G44" s="5">
        <f ca="1">IFERROR(__xludf.DUMMYFUNCTION("""COMPUTED_VALUE"""),2)</f>
        <v>2</v>
      </c>
      <c r="H44" s="5">
        <f ca="1">IFERROR(__xludf.DUMMYFUNCTION("""COMPUTED_VALUE"""),4)</f>
        <v>4</v>
      </c>
      <c r="I44" s="5">
        <f ca="1">IFERROR(__xludf.DUMMYFUNCTION("""COMPUTED_VALUE"""),5)</f>
        <v>5</v>
      </c>
      <c r="J44" s="5">
        <f ca="1">IFERROR(__xludf.DUMMYFUNCTION("""COMPUTED_VALUE"""),1)</f>
        <v>1</v>
      </c>
      <c r="K44" s="5">
        <f ca="1">IFERROR(__xludf.DUMMYFUNCTION("""COMPUTED_VALUE"""),3)</f>
        <v>3</v>
      </c>
      <c r="L44" s="5">
        <f ca="1">IFERROR(__xludf.DUMMYFUNCTION("""COMPUTED_VALUE"""),0)</f>
        <v>0</v>
      </c>
      <c r="M44">
        <f ca="1">IFERROR(__xludf.DUMMYFUNCTION("""COMPUTED_VALUE"""),16)</f>
        <v>16</v>
      </c>
      <c r="N44" s="8" t="str">
        <f ca="1">IFERROR(__xludf.DUMMYFUNCTION("""COMPUTED_VALUE"""),"ПО1")</f>
        <v>ПО1</v>
      </c>
    </row>
    <row r="45" spans="1:14" ht="12.45" hidden="1">
      <c r="A45" t="str">
        <f ca="1">IFERROR(__xludf.DUMMYFUNCTION("""COMPUTED_VALUE"""),"III-3-032")</f>
        <v>III-3-032</v>
      </c>
      <c r="B45" t="str">
        <f ca="1">IFERROR(__xludf.DUMMYFUNCTION("""COMPUTED_VALUE"""),"Баролина")</f>
        <v>Баролина</v>
      </c>
      <c r="C45" t="str">
        <f ca="1">IFERROR(__xludf.DUMMYFUNCTION("""COMPUTED_VALUE"""),"Аглая")</f>
        <v>Аглая</v>
      </c>
      <c r="D45" t="str">
        <f ca="1">IFERROR(__xludf.DUMMYFUNCTION("""COMPUTED_VALUE"""),"Школа Квадривиум")</f>
        <v>Школа Квадривиум</v>
      </c>
      <c r="E45" s="5">
        <f ca="1">IFERROR(__xludf.DUMMYFUNCTION("""COMPUTED_VALUE"""),3)</f>
        <v>3</v>
      </c>
      <c r="F45" s="5">
        <f ca="1">IFERROR(__xludf.DUMMYFUNCTION("""COMPUTED_VALUE"""),5)</f>
        <v>5</v>
      </c>
      <c r="G45" s="5">
        <f ca="1">IFERROR(__xludf.DUMMYFUNCTION("""COMPUTED_VALUE"""),3)</f>
        <v>3</v>
      </c>
      <c r="H45" s="5">
        <f ca="1">IFERROR(__xludf.DUMMYFUNCTION("""COMPUTED_VALUE"""),0)</f>
        <v>0</v>
      </c>
      <c r="I45" s="5">
        <f ca="1">IFERROR(__xludf.DUMMYFUNCTION("""COMPUTED_VALUE"""),3)</f>
        <v>3</v>
      </c>
      <c r="J45" s="5">
        <f ca="1">IFERROR(__xludf.DUMMYFUNCTION("""COMPUTED_VALUE"""),0)</f>
        <v>0</v>
      </c>
      <c r="K45" s="5">
        <f ca="1">IFERROR(__xludf.DUMMYFUNCTION("""COMPUTED_VALUE"""),2)</f>
        <v>2</v>
      </c>
      <c r="L45" s="5">
        <f ca="1">IFERROR(__xludf.DUMMYFUNCTION("""COMPUTED_VALUE"""),0)</f>
        <v>0</v>
      </c>
      <c r="M45">
        <f ca="1">IFERROR(__xludf.DUMMYFUNCTION("""COMPUTED_VALUE"""),16)</f>
        <v>16</v>
      </c>
      <c r="N45" s="8" t="str">
        <f ca="1">IFERROR(__xludf.DUMMYFUNCTION("""COMPUTED_VALUE"""),"ПО1")</f>
        <v>ПО1</v>
      </c>
    </row>
    <row r="46" spans="1:14" ht="12.45" hidden="1">
      <c r="A46" t="str">
        <f ca="1">IFERROR(__xludf.DUMMYFUNCTION("""COMPUTED_VALUE"""),"III-3-275")</f>
        <v>III-3-275</v>
      </c>
      <c r="B46" t="str">
        <f ca="1">IFERROR(__xludf.DUMMYFUNCTION("""COMPUTED_VALUE"""),"Лабутина")</f>
        <v>Лабутина</v>
      </c>
      <c r="C46" t="str">
        <f ca="1">IFERROR(__xludf.DUMMYFUNCTION("""COMPUTED_VALUE"""),"Есения")</f>
        <v>Есения</v>
      </c>
      <c r="D46" t="str">
        <f ca="1">IFERROR(__xludf.DUMMYFUNCTION("""COMPUTED_VALUE"""),"Школа 362")</f>
        <v>Школа 362</v>
      </c>
      <c r="E46" s="5">
        <f ca="1">IFERROR(__xludf.DUMMYFUNCTION("""COMPUTED_VALUE"""),0)</f>
        <v>0</v>
      </c>
      <c r="F46" s="5">
        <f ca="1">IFERROR(__xludf.DUMMYFUNCTION("""COMPUTED_VALUE"""),5)</f>
        <v>5</v>
      </c>
      <c r="G46" s="5">
        <f ca="1">IFERROR(__xludf.DUMMYFUNCTION("""COMPUTED_VALUE"""),3)</f>
        <v>3</v>
      </c>
      <c r="H46" s="5">
        <f ca="1">IFERROR(__xludf.DUMMYFUNCTION("""COMPUTED_VALUE"""),0)</f>
        <v>0</v>
      </c>
      <c r="I46" s="5">
        <f ca="1">IFERROR(__xludf.DUMMYFUNCTION("""COMPUTED_VALUE"""),0)</f>
        <v>0</v>
      </c>
      <c r="J46" s="5">
        <f ca="1">IFERROR(__xludf.DUMMYFUNCTION("""COMPUTED_VALUE"""),4)</f>
        <v>4</v>
      </c>
      <c r="K46" s="5">
        <f ca="1">IFERROR(__xludf.DUMMYFUNCTION("""COMPUTED_VALUE"""),4)</f>
        <v>4</v>
      </c>
      <c r="L46" s="5">
        <f ca="1">IFERROR(__xludf.DUMMYFUNCTION("""COMPUTED_VALUE"""),0)</f>
        <v>0</v>
      </c>
      <c r="M46">
        <f ca="1">IFERROR(__xludf.DUMMYFUNCTION("""COMPUTED_VALUE"""),16)</f>
        <v>16</v>
      </c>
      <c r="N46" s="8" t="str">
        <f ca="1">IFERROR(__xludf.DUMMYFUNCTION("""COMPUTED_VALUE"""),"ПО1")</f>
        <v>ПО1</v>
      </c>
    </row>
    <row r="47" spans="1:14" ht="12.45" hidden="1">
      <c r="A47" t="str">
        <f ca="1">IFERROR(__xludf.DUMMYFUNCTION("""COMPUTED_VALUE"""),"V-3-483")</f>
        <v>V-3-483</v>
      </c>
      <c r="B47" t="str">
        <f ca="1">IFERROR(__xludf.DUMMYFUNCTION("""COMPUTED_VALUE"""),"Скворцов")</f>
        <v>Скворцов</v>
      </c>
      <c r="C47" t="str">
        <f ca="1">IFERROR(__xludf.DUMMYFUNCTION("""COMPUTED_VALUE"""),"Александр")</f>
        <v>Александр</v>
      </c>
      <c r="D47" t="str">
        <f ca="1">IFERROR(__xludf.DUMMYFUNCTION("""COMPUTED_VALUE"""),"Гимназия 526")</f>
        <v>Гимназия 526</v>
      </c>
      <c r="E47" s="5">
        <f ca="1">IFERROR(__xludf.DUMMYFUNCTION("""COMPUTED_VALUE"""),1)</f>
        <v>1</v>
      </c>
      <c r="F47" s="5">
        <f ca="1">IFERROR(__xludf.DUMMYFUNCTION("""COMPUTED_VALUE"""),1)</f>
        <v>1</v>
      </c>
      <c r="G47" s="5">
        <f ca="1">IFERROR(__xludf.DUMMYFUNCTION("""COMPUTED_VALUE"""),3)</f>
        <v>3</v>
      </c>
      <c r="H47" s="5">
        <f ca="1">IFERROR(__xludf.DUMMYFUNCTION("""COMPUTED_VALUE"""),0)</f>
        <v>0</v>
      </c>
      <c r="I47" s="5">
        <f ca="1">IFERROR(__xludf.DUMMYFUNCTION("""COMPUTED_VALUE"""),0)</f>
        <v>0</v>
      </c>
      <c r="J47" s="5">
        <f ca="1">IFERROR(__xludf.DUMMYFUNCTION("""COMPUTED_VALUE"""),2)</f>
        <v>2</v>
      </c>
      <c r="K47" s="5">
        <f ca="1">IFERROR(__xludf.DUMMYFUNCTION("""COMPUTED_VALUE"""),4)</f>
        <v>4</v>
      </c>
      <c r="L47" s="5">
        <f ca="1">IFERROR(__xludf.DUMMYFUNCTION("""COMPUTED_VALUE"""),5)</f>
        <v>5</v>
      </c>
      <c r="M47">
        <f ca="1">IFERROR(__xludf.DUMMYFUNCTION("""COMPUTED_VALUE"""),16)</f>
        <v>16</v>
      </c>
      <c r="N47" s="8" t="str">
        <f ca="1">IFERROR(__xludf.DUMMYFUNCTION("""COMPUTED_VALUE"""),"ПО1")</f>
        <v>ПО1</v>
      </c>
    </row>
    <row r="48" spans="1:14" ht="12.45" hidden="1">
      <c r="A48" t="str">
        <f ca="1">IFERROR(__xludf.DUMMYFUNCTION("""COMPUTED_VALUE"""),"III-3-166")</f>
        <v>III-3-166</v>
      </c>
      <c r="B48" t="str">
        <f ca="1">IFERROR(__xludf.DUMMYFUNCTION("""COMPUTED_VALUE"""),"Зубова")</f>
        <v>Зубова</v>
      </c>
      <c r="C48" t="str">
        <f ca="1">IFERROR(__xludf.DUMMYFUNCTION("""COMPUTED_VALUE"""),"Юлия")</f>
        <v>Юлия</v>
      </c>
      <c r="D48" t="str">
        <f ca="1">IFERROR(__xludf.DUMMYFUNCTION("""COMPUTED_VALUE"""),"Лицей 369")</f>
        <v>Лицей 369</v>
      </c>
      <c r="E48" s="5">
        <f ca="1">IFERROR(__xludf.DUMMYFUNCTION("""COMPUTED_VALUE"""),0)</f>
        <v>0</v>
      </c>
      <c r="F48" s="5">
        <f ca="1">IFERROR(__xludf.DUMMYFUNCTION("""COMPUTED_VALUE"""),5)</f>
        <v>5</v>
      </c>
      <c r="G48" s="5">
        <f ca="1">IFERROR(__xludf.DUMMYFUNCTION("""COMPUTED_VALUE"""),3)</f>
        <v>3</v>
      </c>
      <c r="H48" s="5"/>
      <c r="I48" s="5">
        <f ca="1">IFERROR(__xludf.DUMMYFUNCTION("""COMPUTED_VALUE"""),0)</f>
        <v>0</v>
      </c>
      <c r="J48" s="5">
        <f ca="1">IFERROR(__xludf.DUMMYFUNCTION("""COMPUTED_VALUE"""),0)</f>
        <v>0</v>
      </c>
      <c r="K48" s="5">
        <f ca="1">IFERROR(__xludf.DUMMYFUNCTION("""COMPUTED_VALUE"""),4)</f>
        <v>4</v>
      </c>
      <c r="L48" s="5">
        <f ca="1">IFERROR(__xludf.DUMMYFUNCTION("""COMPUTED_VALUE"""),4)</f>
        <v>4</v>
      </c>
      <c r="M48">
        <f ca="1">IFERROR(__xludf.DUMMYFUNCTION("""COMPUTED_VALUE"""),16)</f>
        <v>16</v>
      </c>
      <c r="N48" s="8" t="str">
        <f ca="1">IFERROR(__xludf.DUMMYFUNCTION("""COMPUTED_VALUE"""),"ПО1")</f>
        <v>ПО1</v>
      </c>
    </row>
    <row r="49" spans="1:14" ht="12.45" hidden="1">
      <c r="A49" t="str">
        <f ca="1">IFERROR(__xludf.DUMMYFUNCTION("""COMPUTED_VALUE"""),"V-3-358")</f>
        <v>V-3-358</v>
      </c>
      <c r="B49" t="str">
        <f ca="1">IFERROR(__xludf.DUMMYFUNCTION("""COMPUTED_VALUE"""),"Назмеева")</f>
        <v>Назмеева</v>
      </c>
      <c r="C49" t="str">
        <f ca="1">IFERROR(__xludf.DUMMYFUNCTION("""COMPUTED_VALUE"""),"София")</f>
        <v>София</v>
      </c>
      <c r="D49" t="str">
        <f ca="1">IFERROR(__xludf.DUMMYFUNCTION("""COMPUTED_VALUE"""),"Гимназия 32")</f>
        <v>Гимназия 32</v>
      </c>
      <c r="E49" s="5">
        <f ca="1">IFERROR(__xludf.DUMMYFUNCTION("""COMPUTED_VALUE"""),1)</f>
        <v>1</v>
      </c>
      <c r="F49" s="5">
        <f ca="1">IFERROR(__xludf.DUMMYFUNCTION("""COMPUTED_VALUE"""),1)</f>
        <v>1</v>
      </c>
      <c r="G49" s="5">
        <f ca="1">IFERROR(__xludf.DUMMYFUNCTION("""COMPUTED_VALUE"""),3)</f>
        <v>3</v>
      </c>
      <c r="H49" s="5">
        <f ca="1">IFERROR(__xludf.DUMMYFUNCTION("""COMPUTED_VALUE"""),2)</f>
        <v>2</v>
      </c>
      <c r="I49" s="5">
        <f ca="1">IFERROR(__xludf.DUMMYFUNCTION("""COMPUTED_VALUE"""),0)</f>
        <v>0</v>
      </c>
      <c r="J49" s="5">
        <f ca="1">IFERROR(__xludf.DUMMYFUNCTION("""COMPUTED_VALUE"""),5)</f>
        <v>5</v>
      </c>
      <c r="K49" s="5">
        <f ca="1">IFERROR(__xludf.DUMMYFUNCTION("""COMPUTED_VALUE"""),4)</f>
        <v>4</v>
      </c>
      <c r="L49" s="5">
        <f ca="1">IFERROR(__xludf.DUMMYFUNCTION("""COMPUTED_VALUE"""),0)</f>
        <v>0</v>
      </c>
      <c r="M49">
        <f ca="1">IFERROR(__xludf.DUMMYFUNCTION("""COMPUTED_VALUE"""),16)</f>
        <v>16</v>
      </c>
      <c r="N49" s="8" t="str">
        <f ca="1">IFERROR(__xludf.DUMMYFUNCTION("""COMPUTED_VALUE"""),"ПО1")</f>
        <v>ПО1</v>
      </c>
    </row>
    <row r="50" spans="1:14" ht="12.45" hidden="1">
      <c r="A50" t="str">
        <f ca="1">IFERROR(__xludf.DUMMYFUNCTION("""COMPUTED_VALUE"""),"III-3-248")</f>
        <v>III-3-248</v>
      </c>
      <c r="B50" t="str">
        <f ca="1">IFERROR(__xludf.DUMMYFUNCTION("""COMPUTED_VALUE"""),"Кривоногов")</f>
        <v>Кривоногов</v>
      </c>
      <c r="C50" t="str">
        <f ca="1">IFERROR(__xludf.DUMMYFUNCTION("""COMPUTED_VALUE"""),"Михаил")</f>
        <v>Михаил</v>
      </c>
      <c r="D50" t="str">
        <f ca="1">IFERROR(__xludf.DUMMYFUNCTION("""COMPUTED_VALUE"""),"Школа 617")</f>
        <v>Школа 617</v>
      </c>
      <c r="E50" s="5">
        <f ca="1">IFERROR(__xludf.DUMMYFUNCTION("""COMPUTED_VALUE"""),1)</f>
        <v>1</v>
      </c>
      <c r="F50" s="5">
        <f ca="1">IFERROR(__xludf.DUMMYFUNCTION("""COMPUTED_VALUE"""),1)</f>
        <v>1</v>
      </c>
      <c r="G50" s="5">
        <f ca="1">IFERROR(__xludf.DUMMYFUNCTION("""COMPUTED_VALUE"""),3)</f>
        <v>3</v>
      </c>
      <c r="H50" s="5">
        <f ca="1">IFERROR(__xludf.DUMMYFUNCTION("""COMPUTED_VALUE"""),4)</f>
        <v>4</v>
      </c>
      <c r="I50" s="5">
        <f ca="1">IFERROR(__xludf.DUMMYFUNCTION("""COMPUTED_VALUE"""),5)</f>
        <v>5</v>
      </c>
      <c r="J50" s="5">
        <f ca="1">IFERROR(__xludf.DUMMYFUNCTION("""COMPUTED_VALUE"""),1)</f>
        <v>1</v>
      </c>
      <c r="K50" s="5">
        <f ca="1">IFERROR(__xludf.DUMMYFUNCTION("""COMPUTED_VALUE"""),0)</f>
        <v>0</v>
      </c>
      <c r="L50" s="5">
        <f ca="1">IFERROR(__xludf.DUMMYFUNCTION("""COMPUTED_VALUE"""),0)</f>
        <v>0</v>
      </c>
      <c r="M50">
        <f ca="1">IFERROR(__xludf.DUMMYFUNCTION("""COMPUTED_VALUE"""),15)</f>
        <v>15</v>
      </c>
      <c r="N50" s="8" t="str">
        <f ca="1">IFERROR(__xludf.DUMMYFUNCTION("""COMPUTED_VALUE"""),"ПО1")</f>
        <v>ПО1</v>
      </c>
    </row>
    <row r="51" spans="1:14" ht="12.45" hidden="1">
      <c r="A51" t="str">
        <f ca="1">IFERROR(__xludf.DUMMYFUNCTION("""COMPUTED_VALUE"""),"V-3-558")</f>
        <v>V-3-558</v>
      </c>
      <c r="B51" t="str">
        <f ca="1">IFERROR(__xludf.DUMMYFUNCTION("""COMPUTED_VALUE"""),"Хосейни")</f>
        <v>Хосейни</v>
      </c>
      <c r="C51" t="str">
        <f ca="1">IFERROR(__xludf.DUMMYFUNCTION("""COMPUTED_VALUE"""),"Арсан")</f>
        <v>Арсан</v>
      </c>
      <c r="D51" t="str">
        <f ca="1">IFERROR(__xludf.DUMMYFUNCTION("""COMPUTED_VALUE"""),"Лицей Экономико-математический лицей Ижевска 29")</f>
        <v>Лицей Экономико-математический лицей Ижевска 29</v>
      </c>
      <c r="E51" s="5">
        <f ca="1">IFERROR(__xludf.DUMMYFUNCTION("""COMPUTED_VALUE"""),3)</f>
        <v>3</v>
      </c>
      <c r="F51" s="5">
        <f ca="1">IFERROR(__xludf.DUMMYFUNCTION("""COMPUTED_VALUE"""),2)</f>
        <v>2</v>
      </c>
      <c r="G51" s="5">
        <f ca="1">IFERROR(__xludf.DUMMYFUNCTION("""COMPUTED_VALUE"""),3)</f>
        <v>3</v>
      </c>
      <c r="H51" s="5">
        <f ca="1">IFERROR(__xludf.DUMMYFUNCTION("""COMPUTED_VALUE"""),0)</f>
        <v>0</v>
      </c>
      <c r="I51" s="5">
        <f ca="1">IFERROR(__xludf.DUMMYFUNCTION("""COMPUTED_VALUE"""),0)</f>
        <v>0</v>
      </c>
      <c r="J51" s="5">
        <f ca="1">IFERROR(__xludf.DUMMYFUNCTION("""COMPUTED_VALUE"""),2)</f>
        <v>2</v>
      </c>
      <c r="K51" s="5">
        <f ca="1">IFERROR(__xludf.DUMMYFUNCTION("""COMPUTED_VALUE"""),4)</f>
        <v>4</v>
      </c>
      <c r="L51" s="5">
        <f ca="1">IFERROR(__xludf.DUMMYFUNCTION("""COMPUTED_VALUE"""),1)</f>
        <v>1</v>
      </c>
      <c r="M51">
        <f ca="1">IFERROR(__xludf.DUMMYFUNCTION("""COMPUTED_VALUE"""),15)</f>
        <v>15</v>
      </c>
      <c r="N51" s="8" t="str">
        <f ca="1">IFERROR(__xludf.DUMMYFUNCTION("""COMPUTED_VALUE"""),"ПО1")</f>
        <v>ПО1</v>
      </c>
    </row>
    <row r="52" spans="1:14" ht="12.45" hidden="1">
      <c r="A52" t="str">
        <f ca="1">IFERROR(__xludf.DUMMYFUNCTION("""COMPUTED_VALUE"""),"III-3-175")</f>
        <v>III-3-175</v>
      </c>
      <c r="B52" t="str">
        <f ca="1">IFERROR(__xludf.DUMMYFUNCTION("""COMPUTED_VALUE"""),"Иванова")</f>
        <v>Иванова</v>
      </c>
      <c r="C52" t="str">
        <f ca="1">IFERROR(__xludf.DUMMYFUNCTION("""COMPUTED_VALUE"""),"Татьяна")</f>
        <v>Татьяна</v>
      </c>
      <c r="D52" t="str">
        <f ca="1">IFERROR(__xludf.DUMMYFUNCTION("""COMPUTED_VALUE"""),"Школа 10")</f>
        <v>Школа 10</v>
      </c>
      <c r="E52" s="5">
        <f ca="1">IFERROR(__xludf.DUMMYFUNCTION("""COMPUTED_VALUE"""),0)</f>
        <v>0</v>
      </c>
      <c r="F52" s="5">
        <f ca="1">IFERROR(__xludf.DUMMYFUNCTION("""COMPUTED_VALUE"""),2)</f>
        <v>2</v>
      </c>
      <c r="G52" s="5">
        <f ca="1">IFERROR(__xludf.DUMMYFUNCTION("""COMPUTED_VALUE"""),1)</f>
        <v>1</v>
      </c>
      <c r="H52" s="5">
        <f ca="1">IFERROR(__xludf.DUMMYFUNCTION("""COMPUTED_VALUE"""),4)</f>
        <v>4</v>
      </c>
      <c r="I52" s="5">
        <f ca="1">IFERROR(__xludf.DUMMYFUNCTION("""COMPUTED_VALUE"""),0)</f>
        <v>0</v>
      </c>
      <c r="J52" s="5">
        <f ca="1">IFERROR(__xludf.DUMMYFUNCTION("""COMPUTED_VALUE"""),4)</f>
        <v>4</v>
      </c>
      <c r="K52" s="5">
        <f ca="1">IFERROR(__xludf.DUMMYFUNCTION("""COMPUTED_VALUE"""),4)</f>
        <v>4</v>
      </c>
      <c r="L52" s="5">
        <f ca="1">IFERROR(__xludf.DUMMYFUNCTION("""COMPUTED_VALUE"""),0)</f>
        <v>0</v>
      </c>
      <c r="M52">
        <f ca="1">IFERROR(__xludf.DUMMYFUNCTION("""COMPUTED_VALUE"""),15)</f>
        <v>15</v>
      </c>
      <c r="N52" s="8" t="str">
        <f ca="1">IFERROR(__xludf.DUMMYFUNCTION("""COMPUTED_VALUE"""),"ПО1")</f>
        <v>ПО1</v>
      </c>
    </row>
    <row r="53" spans="1:14" ht="12.45" hidden="1">
      <c r="A53" t="str">
        <f ca="1">IFERROR(__xludf.DUMMYFUNCTION("""COMPUTED_VALUE"""),"III-3-137")</f>
        <v>III-3-137</v>
      </c>
      <c r="B53" t="str">
        <f ca="1">IFERROR(__xludf.DUMMYFUNCTION("""COMPUTED_VALUE"""),"Дутковскис")</f>
        <v>Дутковскис</v>
      </c>
      <c r="C53" t="str">
        <f ca="1">IFERROR(__xludf.DUMMYFUNCTION("""COMPUTED_VALUE"""),"Матвейс")</f>
        <v>Матвейс</v>
      </c>
      <c r="D53" t="str">
        <f ca="1">IFERROR(__xludf.DUMMYFUNCTION("""COMPUTED_VALUE"""),"Школа 471")</f>
        <v>Школа 471</v>
      </c>
      <c r="E53" s="5">
        <f ca="1">IFERROR(__xludf.DUMMYFUNCTION("""COMPUTED_VALUE"""),3)</f>
        <v>3</v>
      </c>
      <c r="F53" s="5">
        <f ca="1">IFERROR(__xludf.DUMMYFUNCTION("""COMPUTED_VALUE"""),1)</f>
        <v>1</v>
      </c>
      <c r="G53" s="5">
        <f ca="1">IFERROR(__xludf.DUMMYFUNCTION("""COMPUTED_VALUE"""),0)</f>
        <v>0</v>
      </c>
      <c r="H53" s="5">
        <f ca="1">IFERROR(__xludf.DUMMYFUNCTION("""COMPUTED_VALUE"""),0)</f>
        <v>0</v>
      </c>
      <c r="I53" s="5">
        <f ca="1">IFERROR(__xludf.DUMMYFUNCTION("""COMPUTED_VALUE"""),0)</f>
        <v>0</v>
      </c>
      <c r="J53" s="5">
        <f ca="1">IFERROR(__xludf.DUMMYFUNCTION("""COMPUTED_VALUE"""),1)</f>
        <v>1</v>
      </c>
      <c r="K53" s="5">
        <f ca="1">IFERROR(__xludf.DUMMYFUNCTION("""COMPUTED_VALUE"""),4)</f>
        <v>4</v>
      </c>
      <c r="L53" s="5">
        <f ca="1">IFERROR(__xludf.DUMMYFUNCTION("""COMPUTED_VALUE"""),6)</f>
        <v>6</v>
      </c>
      <c r="M53">
        <f ca="1">IFERROR(__xludf.DUMMYFUNCTION("""COMPUTED_VALUE"""),15)</f>
        <v>15</v>
      </c>
      <c r="N53" s="8" t="str">
        <f ca="1">IFERROR(__xludf.DUMMYFUNCTION("""COMPUTED_VALUE"""),"ПО1")</f>
        <v>ПО1</v>
      </c>
    </row>
    <row r="54" spans="1:14" ht="12.45" hidden="1">
      <c r="A54" t="str">
        <f ca="1">IFERROR(__xludf.DUMMYFUNCTION("""COMPUTED_VALUE"""),"V-3-460")</f>
        <v>V-3-460</v>
      </c>
      <c r="B54" t="str">
        <f ca="1">IFERROR(__xludf.DUMMYFUNCTION("""COMPUTED_VALUE"""),"Самсонова")</f>
        <v>Самсонова</v>
      </c>
      <c r="C54" t="str">
        <f ca="1">IFERROR(__xludf.DUMMYFUNCTION("""COMPUTED_VALUE"""),"Анна")</f>
        <v>Анна</v>
      </c>
      <c r="D54" t="str">
        <f ca="1">IFERROR(__xludf.DUMMYFUNCTION("""COMPUTED_VALUE"""),"Гимназия 56")</f>
        <v>Гимназия 56</v>
      </c>
      <c r="E54" s="5">
        <f ca="1">IFERROR(__xludf.DUMMYFUNCTION("""COMPUTED_VALUE"""),2)</f>
        <v>2</v>
      </c>
      <c r="F54" s="5">
        <f ca="1">IFERROR(__xludf.DUMMYFUNCTION("""COMPUTED_VALUE"""),5)</f>
        <v>5</v>
      </c>
      <c r="G54" s="5">
        <f ca="1">IFERROR(__xludf.DUMMYFUNCTION("""COMPUTED_VALUE"""),2)</f>
        <v>2</v>
      </c>
      <c r="H54" s="5">
        <f ca="1">IFERROR(__xludf.DUMMYFUNCTION("""COMPUTED_VALUE"""),0)</f>
        <v>0</v>
      </c>
      <c r="I54" s="5">
        <f ca="1">IFERROR(__xludf.DUMMYFUNCTION("""COMPUTED_VALUE"""),0)</f>
        <v>0</v>
      </c>
      <c r="J54" s="5">
        <f ca="1">IFERROR(__xludf.DUMMYFUNCTION("""COMPUTED_VALUE"""),1)</f>
        <v>1</v>
      </c>
      <c r="K54" s="5">
        <f ca="1">IFERROR(__xludf.DUMMYFUNCTION("""COMPUTED_VALUE"""),0)</f>
        <v>0</v>
      </c>
      <c r="L54" s="5">
        <f ca="1">IFERROR(__xludf.DUMMYFUNCTION("""COMPUTED_VALUE"""),5)</f>
        <v>5</v>
      </c>
      <c r="M54">
        <f ca="1">IFERROR(__xludf.DUMMYFUNCTION("""COMPUTED_VALUE"""),15)</f>
        <v>15</v>
      </c>
      <c r="N54" s="8" t="str">
        <f ca="1">IFERROR(__xludf.DUMMYFUNCTION("""COMPUTED_VALUE"""),"ПО1")</f>
        <v>ПО1</v>
      </c>
    </row>
    <row r="55" spans="1:14" ht="12.45" hidden="1">
      <c r="A55" t="str">
        <f ca="1">IFERROR(__xludf.DUMMYFUNCTION("""COMPUTED_VALUE"""),"III-3-105")</f>
        <v>III-3-105</v>
      </c>
      <c r="B55" t="str">
        <f ca="1">IFERROR(__xludf.DUMMYFUNCTION("""COMPUTED_VALUE"""),"Глушанок")</f>
        <v>Глушанок</v>
      </c>
      <c r="C55" t="str">
        <f ca="1">IFERROR(__xludf.DUMMYFUNCTION("""COMPUTED_VALUE"""),"Элина")</f>
        <v>Элина</v>
      </c>
      <c r="D55" t="str">
        <f ca="1">IFERROR(__xludf.DUMMYFUNCTION("""COMPUTED_VALUE"""),"Гимназия 631")</f>
        <v>Гимназия 631</v>
      </c>
      <c r="E55" s="5">
        <f ca="1">IFERROR(__xludf.DUMMYFUNCTION("""COMPUTED_VALUE"""),0)</f>
        <v>0</v>
      </c>
      <c r="F55" s="5">
        <f ca="1">IFERROR(__xludf.DUMMYFUNCTION("""COMPUTED_VALUE"""),2)</f>
        <v>2</v>
      </c>
      <c r="G55" s="5">
        <f ca="1">IFERROR(__xludf.DUMMYFUNCTION("""COMPUTED_VALUE"""),1)</f>
        <v>1</v>
      </c>
      <c r="H55" s="5">
        <f ca="1">IFERROR(__xludf.DUMMYFUNCTION("""COMPUTED_VALUE"""),0)</f>
        <v>0</v>
      </c>
      <c r="I55" s="5">
        <f ca="1">IFERROR(__xludf.DUMMYFUNCTION("""COMPUTED_VALUE"""),5)</f>
        <v>5</v>
      </c>
      <c r="J55" s="5">
        <f ca="1">IFERROR(__xludf.DUMMYFUNCTION("""COMPUTED_VALUE"""),4)</f>
        <v>4</v>
      </c>
      <c r="K55" s="5">
        <f ca="1">IFERROR(__xludf.DUMMYFUNCTION("""COMPUTED_VALUE"""),2)</f>
        <v>2</v>
      </c>
      <c r="L55" s="5">
        <f ca="1">IFERROR(__xludf.DUMMYFUNCTION("""COMPUTED_VALUE"""),0)</f>
        <v>0</v>
      </c>
      <c r="M55">
        <f ca="1">IFERROR(__xludf.DUMMYFUNCTION("""COMPUTED_VALUE"""),14)</f>
        <v>14</v>
      </c>
      <c r="N55" s="8" t="str">
        <f ca="1">IFERROR(__xludf.DUMMYFUNCTION("""COMPUTED_VALUE"""),"ПО1")</f>
        <v>ПО1</v>
      </c>
    </row>
    <row r="56" spans="1:14" ht="12.45" hidden="1">
      <c r="A56" t="str">
        <f ca="1">IFERROR(__xludf.DUMMYFUNCTION("""COMPUTED_VALUE"""),"III-3-067")</f>
        <v>III-3-067</v>
      </c>
      <c r="B56" t="str">
        <f ca="1">IFERROR(__xludf.DUMMYFUNCTION("""COMPUTED_VALUE"""),"Буслова")</f>
        <v>Буслова</v>
      </c>
      <c r="C56" t="str">
        <f ca="1">IFERROR(__xludf.DUMMYFUNCTION("""COMPUTED_VALUE"""),"Светлана")</f>
        <v>Светлана</v>
      </c>
      <c r="D56" t="str">
        <f ca="1">IFERROR(__xludf.DUMMYFUNCTION("""COMPUTED_VALUE"""),"Гимназия 52")</f>
        <v>Гимназия 52</v>
      </c>
      <c r="E56" s="5">
        <f ca="1">IFERROR(__xludf.DUMMYFUNCTION("""COMPUTED_VALUE"""),1)</f>
        <v>1</v>
      </c>
      <c r="F56" s="5">
        <f ca="1">IFERROR(__xludf.DUMMYFUNCTION("""COMPUTED_VALUE"""),1)</f>
        <v>1</v>
      </c>
      <c r="G56" s="5">
        <f ca="1">IFERROR(__xludf.DUMMYFUNCTION("""COMPUTED_VALUE"""),1)</f>
        <v>1</v>
      </c>
      <c r="H56" s="5">
        <f ca="1">IFERROR(__xludf.DUMMYFUNCTION("""COMPUTED_VALUE"""),4)</f>
        <v>4</v>
      </c>
      <c r="I56" s="5">
        <f ca="1">IFERROR(__xludf.DUMMYFUNCTION("""COMPUTED_VALUE"""),5)</f>
        <v>5</v>
      </c>
      <c r="J56" s="5">
        <f ca="1">IFERROR(__xludf.DUMMYFUNCTION("""COMPUTED_VALUE"""),0)</f>
        <v>0</v>
      </c>
      <c r="K56" s="5">
        <f ca="1">IFERROR(__xludf.DUMMYFUNCTION("""COMPUTED_VALUE"""),1)</f>
        <v>1</v>
      </c>
      <c r="L56" s="5">
        <f ca="1">IFERROR(__xludf.DUMMYFUNCTION("""COMPUTED_VALUE"""),1)</f>
        <v>1</v>
      </c>
      <c r="M56">
        <f ca="1">IFERROR(__xludf.DUMMYFUNCTION("""COMPUTED_VALUE"""),14)</f>
        <v>14</v>
      </c>
      <c r="N56" s="8" t="str">
        <f ca="1">IFERROR(__xludf.DUMMYFUNCTION("""COMPUTED_VALUE"""),"ПО1")</f>
        <v>ПО1</v>
      </c>
    </row>
    <row r="57" spans="1:14" ht="12.45" hidden="1">
      <c r="A57" t="str">
        <f ca="1">IFERROR(__xludf.DUMMYFUNCTION("""COMPUTED_VALUE"""),"V-3-475")</f>
        <v>V-3-475</v>
      </c>
      <c r="B57" t="str">
        <f ca="1">IFERROR(__xludf.DUMMYFUNCTION("""COMPUTED_VALUE"""),"Сидоров")</f>
        <v>Сидоров</v>
      </c>
      <c r="C57" t="str">
        <f ca="1">IFERROR(__xludf.DUMMYFUNCTION("""COMPUTED_VALUE"""),"Максим")</f>
        <v>Максим</v>
      </c>
      <c r="D57" t="str">
        <f ca="1">IFERROR(__xludf.DUMMYFUNCTION("""COMPUTED_VALUE"""),"Школа 160")</f>
        <v>Школа 160</v>
      </c>
      <c r="E57" s="5">
        <f ca="1">IFERROR(__xludf.DUMMYFUNCTION("""COMPUTED_VALUE"""),1)</f>
        <v>1</v>
      </c>
      <c r="F57" s="5">
        <f ca="1">IFERROR(__xludf.DUMMYFUNCTION("""COMPUTED_VALUE"""),0)</f>
        <v>0</v>
      </c>
      <c r="G57" s="5">
        <f ca="1">IFERROR(__xludf.DUMMYFUNCTION("""COMPUTED_VALUE"""),2)</f>
        <v>2</v>
      </c>
      <c r="H57" s="5">
        <f ca="1">IFERROR(__xludf.DUMMYFUNCTION("""COMPUTED_VALUE"""),0)</f>
        <v>0</v>
      </c>
      <c r="I57" s="5">
        <f ca="1">IFERROR(__xludf.DUMMYFUNCTION("""COMPUTED_VALUE"""),5)</f>
        <v>5</v>
      </c>
      <c r="J57" s="5">
        <f ca="1">IFERROR(__xludf.DUMMYFUNCTION("""COMPUTED_VALUE"""),1)</f>
        <v>1</v>
      </c>
      <c r="K57" s="5">
        <f ca="1">IFERROR(__xludf.DUMMYFUNCTION("""COMPUTED_VALUE"""),4)</f>
        <v>4</v>
      </c>
      <c r="L57" s="5">
        <f ca="1">IFERROR(__xludf.DUMMYFUNCTION("""COMPUTED_VALUE"""),1)</f>
        <v>1</v>
      </c>
      <c r="M57">
        <f ca="1">IFERROR(__xludf.DUMMYFUNCTION("""COMPUTED_VALUE"""),14)</f>
        <v>14</v>
      </c>
      <c r="N57" s="8" t="str">
        <f ca="1">IFERROR(__xludf.DUMMYFUNCTION("""COMPUTED_VALUE"""),"ПО1")</f>
        <v>ПО1</v>
      </c>
    </row>
    <row r="58" spans="1:14" ht="12.45" hidden="1">
      <c r="A58" t="str">
        <f ca="1">IFERROR(__xludf.DUMMYFUNCTION("""COMPUTED_VALUE"""),"III-3-116")</f>
        <v>III-3-116</v>
      </c>
      <c r="B58" t="str">
        <f ca="1">IFERROR(__xludf.DUMMYFUNCTION("""COMPUTED_VALUE"""),"Грошиков")</f>
        <v>Грошиков</v>
      </c>
      <c r="C58" t="str">
        <f ca="1">IFERROR(__xludf.DUMMYFUNCTION("""COMPUTED_VALUE"""),"Никита")</f>
        <v>Никита</v>
      </c>
      <c r="D58" t="str">
        <f ca="1">IFERROR(__xludf.DUMMYFUNCTION("""COMPUTED_VALUE"""),"Гимназия 642")</f>
        <v>Гимназия 642</v>
      </c>
      <c r="E58" s="5">
        <f ca="1">IFERROR(__xludf.DUMMYFUNCTION("""COMPUTED_VALUE"""),1)</f>
        <v>1</v>
      </c>
      <c r="F58" s="5">
        <f ca="1">IFERROR(__xludf.DUMMYFUNCTION("""COMPUTED_VALUE"""),2)</f>
        <v>2</v>
      </c>
      <c r="G58" s="5">
        <f ca="1">IFERROR(__xludf.DUMMYFUNCTION("""COMPUTED_VALUE"""),1)</f>
        <v>1</v>
      </c>
      <c r="H58" s="5">
        <f ca="1">IFERROR(__xludf.DUMMYFUNCTION("""COMPUTED_VALUE"""),4)</f>
        <v>4</v>
      </c>
      <c r="I58" s="5">
        <f ca="1">IFERROR(__xludf.DUMMYFUNCTION("""COMPUTED_VALUE"""),3)</f>
        <v>3</v>
      </c>
      <c r="J58" s="5">
        <f ca="1">IFERROR(__xludf.DUMMYFUNCTION("""COMPUTED_VALUE"""),1)</f>
        <v>1</v>
      </c>
      <c r="K58" s="5">
        <f ca="1">IFERROR(__xludf.DUMMYFUNCTION("""COMPUTED_VALUE"""),2)</f>
        <v>2</v>
      </c>
      <c r="L58" s="5">
        <f ca="1">IFERROR(__xludf.DUMMYFUNCTION("""COMPUTED_VALUE"""),0)</f>
        <v>0</v>
      </c>
      <c r="M58">
        <f ca="1">IFERROR(__xludf.DUMMYFUNCTION("""COMPUTED_VALUE"""),14)</f>
        <v>14</v>
      </c>
      <c r="N58" s="8" t="str">
        <f ca="1">IFERROR(__xludf.DUMMYFUNCTION("""COMPUTED_VALUE"""),"ПО1")</f>
        <v>ПО1</v>
      </c>
    </row>
    <row r="59" spans="1:14" ht="12.45" hidden="1">
      <c r="A59" t="str">
        <f ca="1">IFERROR(__xludf.DUMMYFUNCTION("""COMPUTED_VALUE"""),"V-3-474")</f>
        <v>V-3-474</v>
      </c>
      <c r="B59" t="str">
        <f ca="1">IFERROR(__xludf.DUMMYFUNCTION("""COMPUTED_VALUE"""),"Серпинская")</f>
        <v>Серпинская</v>
      </c>
      <c r="C59" t="str">
        <f ca="1">IFERROR(__xludf.DUMMYFUNCTION("""COMPUTED_VALUE"""),"Полина")</f>
        <v>Полина</v>
      </c>
      <c r="D59" t="str">
        <f ca="1">IFERROR(__xludf.DUMMYFUNCTION("""COMPUTED_VALUE"""),"Лицей 344")</f>
        <v>Лицей 344</v>
      </c>
      <c r="E59" s="5">
        <f ca="1">IFERROR(__xludf.DUMMYFUNCTION("""COMPUTED_VALUE"""),3)</f>
        <v>3</v>
      </c>
      <c r="F59" s="5">
        <f ca="1">IFERROR(__xludf.DUMMYFUNCTION("""COMPUTED_VALUE"""),5)</f>
        <v>5</v>
      </c>
      <c r="G59" s="5">
        <f ca="1">IFERROR(__xludf.DUMMYFUNCTION("""COMPUTED_VALUE"""),1)</f>
        <v>1</v>
      </c>
      <c r="H59" s="5">
        <f ca="1">IFERROR(__xludf.DUMMYFUNCTION("""COMPUTED_VALUE"""),0)</f>
        <v>0</v>
      </c>
      <c r="I59" s="5">
        <f ca="1">IFERROR(__xludf.DUMMYFUNCTION("""COMPUTED_VALUE"""),2)</f>
        <v>2</v>
      </c>
      <c r="J59" s="5">
        <f ca="1">IFERROR(__xludf.DUMMYFUNCTION("""COMPUTED_VALUE"""),1)</f>
        <v>1</v>
      </c>
      <c r="K59" s="5">
        <f ca="1">IFERROR(__xludf.DUMMYFUNCTION("""COMPUTED_VALUE"""),2)</f>
        <v>2</v>
      </c>
      <c r="L59" s="5">
        <f ca="1">IFERROR(__xludf.DUMMYFUNCTION("""COMPUTED_VALUE"""),0)</f>
        <v>0</v>
      </c>
      <c r="M59">
        <f ca="1">IFERROR(__xludf.DUMMYFUNCTION("""COMPUTED_VALUE"""),14)</f>
        <v>14</v>
      </c>
      <c r="N59" s="8" t="str">
        <f ca="1">IFERROR(__xludf.DUMMYFUNCTION("""COMPUTED_VALUE"""),"ПО1")</f>
        <v>ПО1</v>
      </c>
    </row>
    <row r="60" spans="1:14" ht="12.45" hidden="1">
      <c r="A60" t="str">
        <f ca="1">IFERROR(__xludf.DUMMYFUNCTION("""COMPUTED_VALUE"""),"V-3-337")</f>
        <v>V-3-337</v>
      </c>
      <c r="B60" t="str">
        <f ca="1">IFERROR(__xludf.DUMMYFUNCTION("""COMPUTED_VALUE"""),"Михалев")</f>
        <v>Михалев</v>
      </c>
      <c r="C60" t="str">
        <f ca="1">IFERROR(__xludf.DUMMYFUNCTION("""COMPUTED_VALUE"""),"Матвей")</f>
        <v>Матвей</v>
      </c>
      <c r="D60" t="str">
        <f ca="1">IFERROR(__xludf.DUMMYFUNCTION("""COMPUTED_VALUE"""),"Гимназия 1 им. Н.М. Пржевальского г. Смоленска")</f>
        <v>Гимназия 1 им. Н.М. Пржевальского г. Смоленска</v>
      </c>
      <c r="E60" s="5">
        <f ca="1">IFERROR(__xludf.DUMMYFUNCTION("""COMPUTED_VALUE"""),2)</f>
        <v>2</v>
      </c>
      <c r="F60" s="5">
        <f ca="1">IFERROR(__xludf.DUMMYFUNCTION("""COMPUTED_VALUE"""),2)</f>
        <v>2</v>
      </c>
      <c r="G60" s="5">
        <f ca="1">IFERROR(__xludf.DUMMYFUNCTION("""COMPUTED_VALUE"""),0)</f>
        <v>0</v>
      </c>
      <c r="H60" s="5">
        <f ca="1">IFERROR(__xludf.DUMMYFUNCTION("""COMPUTED_VALUE"""),4)</f>
        <v>4</v>
      </c>
      <c r="I60" s="5">
        <f ca="1">IFERROR(__xludf.DUMMYFUNCTION("""COMPUTED_VALUE"""),2)</f>
        <v>2</v>
      </c>
      <c r="J60" s="5">
        <f ca="1">IFERROR(__xludf.DUMMYFUNCTION("""COMPUTED_VALUE"""),2)</f>
        <v>2</v>
      </c>
      <c r="K60" s="5">
        <f ca="1">IFERROR(__xludf.DUMMYFUNCTION("""COMPUTED_VALUE"""),0)</f>
        <v>0</v>
      </c>
      <c r="L60" s="5">
        <f ca="1">IFERROR(__xludf.DUMMYFUNCTION("""COMPUTED_VALUE"""),2)</f>
        <v>2</v>
      </c>
      <c r="M60">
        <f ca="1">IFERROR(__xludf.DUMMYFUNCTION("""COMPUTED_VALUE"""),14)</f>
        <v>14</v>
      </c>
      <c r="N60" s="8" t="str">
        <f ca="1">IFERROR(__xludf.DUMMYFUNCTION("""COMPUTED_VALUE"""),"ПО1")</f>
        <v>ПО1</v>
      </c>
    </row>
    <row r="61" spans="1:14" ht="12.45" hidden="1">
      <c r="A61" t="str">
        <f ca="1">IFERROR(__xludf.DUMMYFUNCTION("""COMPUTED_VALUE"""),"V-3-347")</f>
        <v>V-3-347</v>
      </c>
      <c r="B61" t="str">
        <f ca="1">IFERROR(__xludf.DUMMYFUNCTION("""COMPUTED_VALUE"""),"Муравьев")</f>
        <v>Муравьев</v>
      </c>
      <c r="C61" t="str">
        <f ca="1">IFERROR(__xludf.DUMMYFUNCTION("""COMPUTED_VALUE"""),"Степан")</f>
        <v>Степан</v>
      </c>
      <c r="D61" t="str">
        <f ca="1">IFERROR(__xludf.DUMMYFUNCTION("""COMPUTED_VALUE"""),"Гимназия 261")</f>
        <v>Гимназия 261</v>
      </c>
      <c r="E61" s="5">
        <f ca="1">IFERROR(__xludf.DUMMYFUNCTION("""COMPUTED_VALUE"""),3)</f>
        <v>3</v>
      </c>
      <c r="F61" s="5">
        <f ca="1">IFERROR(__xludf.DUMMYFUNCTION("""COMPUTED_VALUE"""),1)</f>
        <v>1</v>
      </c>
      <c r="G61" s="5">
        <f ca="1">IFERROR(__xludf.DUMMYFUNCTION("""COMPUTED_VALUE"""),3)</f>
        <v>3</v>
      </c>
      <c r="H61" s="5">
        <f ca="1">IFERROR(__xludf.DUMMYFUNCTION("""COMPUTED_VALUE"""),0)</f>
        <v>0</v>
      </c>
      <c r="I61" s="5">
        <f ca="1">IFERROR(__xludf.DUMMYFUNCTION("""COMPUTED_VALUE"""),2)</f>
        <v>2</v>
      </c>
      <c r="J61" s="5">
        <f ca="1">IFERROR(__xludf.DUMMYFUNCTION("""COMPUTED_VALUE"""),3)</f>
        <v>3</v>
      </c>
      <c r="K61" s="5">
        <f ca="1">IFERROR(__xludf.DUMMYFUNCTION("""COMPUTED_VALUE"""),2)</f>
        <v>2</v>
      </c>
      <c r="L61" s="5">
        <f ca="1">IFERROR(__xludf.DUMMYFUNCTION("""COMPUTED_VALUE"""),0)</f>
        <v>0</v>
      </c>
      <c r="M61">
        <f ca="1">IFERROR(__xludf.DUMMYFUNCTION("""COMPUTED_VALUE"""),14)</f>
        <v>14</v>
      </c>
      <c r="N61" s="8" t="str">
        <f ca="1">IFERROR(__xludf.DUMMYFUNCTION("""COMPUTED_VALUE"""),"ПО1")</f>
        <v>ПО1</v>
      </c>
    </row>
    <row r="62" spans="1:14" ht="12.45" hidden="1">
      <c r="A62" t="str">
        <f ca="1">IFERROR(__xludf.DUMMYFUNCTION("""COMPUTED_VALUE"""),"III-3-003")</f>
        <v>III-3-003</v>
      </c>
      <c r="B62" t="str">
        <f ca="1">IFERROR(__xludf.DUMMYFUNCTION("""COMPUTED_VALUE"""),"Авакян")</f>
        <v>Авакян</v>
      </c>
      <c r="C62" t="str">
        <f ca="1">IFERROR(__xludf.DUMMYFUNCTION("""COMPUTED_VALUE"""),"Николай")</f>
        <v>Николай</v>
      </c>
      <c r="D62" t="str">
        <f ca="1">IFERROR(__xludf.DUMMYFUNCTION("""COMPUTED_VALUE"""),"Лицей лицей 126")</f>
        <v>Лицей лицей 126</v>
      </c>
      <c r="E62" s="5">
        <f ca="1">IFERROR(__xludf.DUMMYFUNCTION("""COMPUTED_VALUE"""),0)</f>
        <v>0</v>
      </c>
      <c r="F62" s="5">
        <f ca="1">IFERROR(__xludf.DUMMYFUNCTION("""COMPUTED_VALUE"""),1)</f>
        <v>1</v>
      </c>
      <c r="G62" s="5">
        <f ca="1">IFERROR(__xludf.DUMMYFUNCTION("""COMPUTED_VALUE"""),3)</f>
        <v>3</v>
      </c>
      <c r="H62" s="5">
        <f ca="1">IFERROR(__xludf.DUMMYFUNCTION("""COMPUTED_VALUE"""),2)</f>
        <v>2</v>
      </c>
      <c r="I62" s="5">
        <f ca="1">IFERROR(__xludf.DUMMYFUNCTION("""COMPUTED_VALUE"""),1)</f>
        <v>1</v>
      </c>
      <c r="J62" s="5">
        <f ca="1">IFERROR(__xludf.DUMMYFUNCTION("""COMPUTED_VALUE"""),4)</f>
        <v>4</v>
      </c>
      <c r="K62" s="5">
        <f ca="1">IFERROR(__xludf.DUMMYFUNCTION("""COMPUTED_VALUE"""),2)</f>
        <v>2</v>
      </c>
      <c r="L62" s="5">
        <f ca="1">IFERROR(__xludf.DUMMYFUNCTION("""COMPUTED_VALUE"""),1)</f>
        <v>1</v>
      </c>
      <c r="M62">
        <f ca="1">IFERROR(__xludf.DUMMYFUNCTION("""COMPUTED_VALUE"""),14)</f>
        <v>14</v>
      </c>
      <c r="N62" s="8" t="str">
        <f ca="1">IFERROR(__xludf.DUMMYFUNCTION("""COMPUTED_VALUE"""),"ПО1")</f>
        <v>ПО1</v>
      </c>
    </row>
    <row r="63" spans="1:14" ht="12.45" hidden="1">
      <c r="A63" t="str">
        <f ca="1">IFERROR(__xludf.DUMMYFUNCTION("""COMPUTED_VALUE"""),"III-3-221")</f>
        <v>III-3-221</v>
      </c>
      <c r="B63" t="str">
        <f ca="1">IFERROR(__xludf.DUMMYFUNCTION("""COMPUTED_VALUE"""),"Козловская")</f>
        <v>Козловская</v>
      </c>
      <c r="C63" t="str">
        <f ca="1">IFERROR(__xludf.DUMMYFUNCTION("""COMPUTED_VALUE"""),"Алиса")</f>
        <v>Алиса</v>
      </c>
      <c r="D63" t="str">
        <f ca="1">IFERROR(__xludf.DUMMYFUNCTION("""COMPUTED_VALUE"""),"Гимназия 107")</f>
        <v>Гимназия 107</v>
      </c>
      <c r="E63" s="5">
        <f ca="1">IFERROR(__xludf.DUMMYFUNCTION("""COMPUTED_VALUE"""),1)</f>
        <v>1</v>
      </c>
      <c r="F63" s="5">
        <f ca="1">IFERROR(__xludf.DUMMYFUNCTION("""COMPUTED_VALUE"""),2)</f>
        <v>2</v>
      </c>
      <c r="G63" s="5">
        <f ca="1">IFERROR(__xludf.DUMMYFUNCTION("""COMPUTED_VALUE"""),3)</f>
        <v>3</v>
      </c>
      <c r="H63" s="5">
        <f ca="1">IFERROR(__xludf.DUMMYFUNCTION("""COMPUTED_VALUE"""),4)</f>
        <v>4</v>
      </c>
      <c r="I63" s="5">
        <f ca="1">IFERROR(__xludf.DUMMYFUNCTION("""COMPUTED_VALUE"""),1)</f>
        <v>1</v>
      </c>
      <c r="J63" s="5">
        <f ca="1">IFERROR(__xludf.DUMMYFUNCTION("""COMPUTED_VALUE"""),1)</f>
        <v>1</v>
      </c>
      <c r="K63" s="5">
        <f ca="1">IFERROR(__xludf.DUMMYFUNCTION("""COMPUTED_VALUE"""),2)</f>
        <v>2</v>
      </c>
      <c r="L63" s="5">
        <f ca="1">IFERROR(__xludf.DUMMYFUNCTION("""COMPUTED_VALUE"""),0)</f>
        <v>0</v>
      </c>
      <c r="M63">
        <f ca="1">IFERROR(__xludf.DUMMYFUNCTION("""COMPUTED_VALUE"""),14)</f>
        <v>14</v>
      </c>
      <c r="N63" s="8" t="str">
        <f ca="1">IFERROR(__xludf.DUMMYFUNCTION("""COMPUTED_VALUE"""),"ПО1")</f>
        <v>ПО1</v>
      </c>
    </row>
    <row r="64" spans="1:14" ht="12.45" hidden="1">
      <c r="A64" t="str">
        <f ca="1">IFERROR(__xludf.DUMMYFUNCTION("""COMPUTED_VALUE"""),"III-3-222")</f>
        <v>III-3-222</v>
      </c>
      <c r="B64" t="str">
        <f ca="1">IFERROR(__xludf.DUMMYFUNCTION("""COMPUTED_VALUE"""),"Козырев")</f>
        <v>Козырев</v>
      </c>
      <c r="C64" t="str">
        <f ca="1">IFERROR(__xludf.DUMMYFUNCTION("""COMPUTED_VALUE"""),"Георгий")</f>
        <v>Георгий</v>
      </c>
      <c r="D64" t="str">
        <f ca="1">IFERROR(__xludf.DUMMYFUNCTION("""COMPUTED_VALUE"""),"Школа МШМ")</f>
        <v>Школа МШМ</v>
      </c>
      <c r="E64" s="5">
        <f ca="1">IFERROR(__xludf.DUMMYFUNCTION("""COMPUTED_VALUE"""),3)</f>
        <v>3</v>
      </c>
      <c r="F64" s="5">
        <f ca="1">IFERROR(__xludf.DUMMYFUNCTION("""COMPUTED_VALUE"""),2)</f>
        <v>2</v>
      </c>
      <c r="G64" s="5">
        <f ca="1">IFERROR(__xludf.DUMMYFUNCTION("""COMPUTED_VALUE"""),1)</f>
        <v>1</v>
      </c>
      <c r="H64" s="5">
        <f ca="1">IFERROR(__xludf.DUMMYFUNCTION("""COMPUTED_VALUE"""),0)</f>
        <v>0</v>
      </c>
      <c r="I64" s="5">
        <f ca="1">IFERROR(__xludf.DUMMYFUNCTION("""COMPUTED_VALUE"""),5)</f>
        <v>5</v>
      </c>
      <c r="J64" s="5">
        <f ca="1">IFERROR(__xludf.DUMMYFUNCTION("""COMPUTED_VALUE"""),0)</f>
        <v>0</v>
      </c>
      <c r="K64" s="5">
        <f ca="1">IFERROR(__xludf.DUMMYFUNCTION("""COMPUTED_VALUE"""),2)</f>
        <v>2</v>
      </c>
      <c r="L64" s="5">
        <f ca="1">IFERROR(__xludf.DUMMYFUNCTION("""COMPUTED_VALUE"""),0)</f>
        <v>0</v>
      </c>
      <c r="M64">
        <f ca="1">IFERROR(__xludf.DUMMYFUNCTION("""COMPUTED_VALUE"""),13)</f>
        <v>13</v>
      </c>
      <c r="N64" s="8" t="str">
        <f ca="1">IFERROR(__xludf.DUMMYFUNCTION("""COMPUTED_VALUE"""),"ПО1")</f>
        <v>ПО1</v>
      </c>
    </row>
    <row r="65" spans="1:14" ht="12.45" hidden="1">
      <c r="A65" t="str">
        <f ca="1">IFERROR(__xludf.DUMMYFUNCTION("""COMPUTED_VALUE"""),"V-3-448")</f>
        <v>V-3-448</v>
      </c>
      <c r="B65" t="str">
        <f ca="1">IFERROR(__xludf.DUMMYFUNCTION("""COMPUTED_VALUE"""),"Рукина")</f>
        <v>Рукина</v>
      </c>
      <c r="C65" t="str">
        <f ca="1">IFERROR(__xludf.DUMMYFUNCTION("""COMPUTED_VALUE"""),"Полина")</f>
        <v>Полина</v>
      </c>
      <c r="D65" t="str">
        <f ca="1">IFERROR(__xludf.DUMMYFUNCTION("""COMPUTED_VALUE"""),"Лицей 344")</f>
        <v>Лицей 344</v>
      </c>
      <c r="E65" s="5">
        <f ca="1">IFERROR(__xludf.DUMMYFUNCTION("""COMPUTED_VALUE"""),1)</f>
        <v>1</v>
      </c>
      <c r="F65" s="5">
        <f ca="1">IFERROR(__xludf.DUMMYFUNCTION("""COMPUTED_VALUE"""),0)</f>
        <v>0</v>
      </c>
      <c r="G65" s="5">
        <f ca="1">IFERROR(__xludf.DUMMYFUNCTION("""COMPUTED_VALUE"""),2)</f>
        <v>2</v>
      </c>
      <c r="H65" s="5">
        <f ca="1">IFERROR(__xludf.DUMMYFUNCTION("""COMPUTED_VALUE"""),2)</f>
        <v>2</v>
      </c>
      <c r="I65" s="5">
        <f ca="1">IFERROR(__xludf.DUMMYFUNCTION("""COMPUTED_VALUE"""),5)</f>
        <v>5</v>
      </c>
      <c r="J65" s="5">
        <f ca="1">IFERROR(__xludf.DUMMYFUNCTION("""COMPUTED_VALUE"""),1)</f>
        <v>1</v>
      </c>
      <c r="K65" s="5">
        <f ca="1">IFERROR(__xludf.DUMMYFUNCTION("""COMPUTED_VALUE"""),2)</f>
        <v>2</v>
      </c>
      <c r="L65" s="5">
        <f ca="1">IFERROR(__xludf.DUMMYFUNCTION("""COMPUTED_VALUE"""),0)</f>
        <v>0</v>
      </c>
      <c r="M65">
        <f ca="1">IFERROR(__xludf.DUMMYFUNCTION("""COMPUTED_VALUE"""),13)</f>
        <v>13</v>
      </c>
      <c r="N65" s="8" t="str">
        <f ca="1">IFERROR(__xludf.DUMMYFUNCTION("""COMPUTED_VALUE"""),"ПО1")</f>
        <v>ПО1</v>
      </c>
    </row>
    <row r="66" spans="1:14" ht="12.45" hidden="1">
      <c r="A66" t="str">
        <f ca="1">IFERROR(__xludf.DUMMYFUNCTION("""COMPUTED_VALUE"""),"III-3-237")</f>
        <v>III-3-237</v>
      </c>
      <c r="B66" t="str">
        <f ca="1">IFERROR(__xludf.DUMMYFUNCTION("""COMPUTED_VALUE"""),"Косаревский")</f>
        <v>Косаревский</v>
      </c>
      <c r="C66" t="str">
        <f ca="1">IFERROR(__xludf.DUMMYFUNCTION("""COMPUTED_VALUE"""),"Никодим")</f>
        <v>Никодим</v>
      </c>
      <c r="D66" t="str">
        <f ca="1">IFERROR(__xludf.DUMMYFUNCTION("""COMPUTED_VALUE"""),"Гимназия Вторая гимназия")</f>
        <v>Гимназия Вторая гимназия</v>
      </c>
      <c r="E66" s="5">
        <f ca="1">IFERROR(__xludf.DUMMYFUNCTION("""COMPUTED_VALUE"""),1)</f>
        <v>1</v>
      </c>
      <c r="F66" s="5">
        <f ca="1">IFERROR(__xludf.DUMMYFUNCTION("""COMPUTED_VALUE"""),1)</f>
        <v>1</v>
      </c>
      <c r="G66" s="5">
        <f ca="1">IFERROR(__xludf.DUMMYFUNCTION("""COMPUTED_VALUE"""),1)</f>
        <v>1</v>
      </c>
      <c r="H66" s="5">
        <f ca="1">IFERROR(__xludf.DUMMYFUNCTION("""COMPUTED_VALUE"""),4)</f>
        <v>4</v>
      </c>
      <c r="I66" s="5">
        <f ca="1">IFERROR(__xludf.DUMMYFUNCTION("""COMPUTED_VALUE"""),5)</f>
        <v>5</v>
      </c>
      <c r="J66" s="5">
        <f ca="1">IFERROR(__xludf.DUMMYFUNCTION("""COMPUTED_VALUE"""),0)</f>
        <v>0</v>
      </c>
      <c r="K66" s="5">
        <f ca="1">IFERROR(__xludf.DUMMYFUNCTION("""COMPUTED_VALUE"""),1)</f>
        <v>1</v>
      </c>
      <c r="L66" s="5">
        <f ca="1">IFERROR(__xludf.DUMMYFUNCTION("""COMPUTED_VALUE"""),0)</f>
        <v>0</v>
      </c>
      <c r="M66">
        <f ca="1">IFERROR(__xludf.DUMMYFUNCTION("""COMPUTED_VALUE"""),13)</f>
        <v>13</v>
      </c>
      <c r="N66" s="8" t="str">
        <f ca="1">IFERROR(__xludf.DUMMYFUNCTION("""COMPUTED_VALUE"""),"ПО1")</f>
        <v>ПО1</v>
      </c>
    </row>
    <row r="67" spans="1:14" ht="12.45" hidden="1">
      <c r="A67" t="str">
        <f ca="1">IFERROR(__xludf.DUMMYFUNCTION("""COMPUTED_VALUE"""),"III-3-013")</f>
        <v>III-3-013</v>
      </c>
      <c r="B67" t="str">
        <f ca="1">IFERROR(__xludf.DUMMYFUNCTION("""COMPUTED_VALUE"""),"Амендт")</f>
        <v>Амендт</v>
      </c>
      <c r="C67" t="str">
        <f ca="1">IFERROR(__xludf.DUMMYFUNCTION("""COMPUTED_VALUE"""),"Андрей")</f>
        <v>Андрей</v>
      </c>
      <c r="D67" t="str">
        <f ca="1">IFERROR(__xludf.DUMMYFUNCTION("""COMPUTED_VALUE"""),"Лицей 101")</f>
        <v>Лицей 101</v>
      </c>
      <c r="E67" s="5">
        <f ca="1">IFERROR(__xludf.DUMMYFUNCTION("""COMPUTED_VALUE"""),1)</f>
        <v>1</v>
      </c>
      <c r="F67" s="5">
        <f ca="1">IFERROR(__xludf.DUMMYFUNCTION("""COMPUTED_VALUE"""),2)</f>
        <v>2</v>
      </c>
      <c r="G67" s="5">
        <f ca="1">IFERROR(__xludf.DUMMYFUNCTION("""COMPUTED_VALUE"""),3)</f>
        <v>3</v>
      </c>
      <c r="H67" s="5">
        <f ca="1">IFERROR(__xludf.DUMMYFUNCTION("""COMPUTED_VALUE"""),0)</f>
        <v>0</v>
      </c>
      <c r="I67" s="5">
        <f ca="1">IFERROR(__xludf.DUMMYFUNCTION("""COMPUTED_VALUE"""),5)</f>
        <v>5</v>
      </c>
      <c r="J67" s="5">
        <f ca="1">IFERROR(__xludf.DUMMYFUNCTION("""COMPUTED_VALUE"""),0)</f>
        <v>0</v>
      </c>
      <c r="K67" s="5">
        <f ca="1">IFERROR(__xludf.DUMMYFUNCTION("""COMPUTED_VALUE"""),2)</f>
        <v>2</v>
      </c>
      <c r="L67" s="5">
        <f ca="1">IFERROR(__xludf.DUMMYFUNCTION("""COMPUTED_VALUE"""),0)</f>
        <v>0</v>
      </c>
      <c r="M67">
        <f ca="1">IFERROR(__xludf.DUMMYFUNCTION("""COMPUTED_VALUE"""),13)</f>
        <v>13</v>
      </c>
      <c r="N67" s="8" t="str">
        <f ca="1">IFERROR(__xludf.DUMMYFUNCTION("""COMPUTED_VALUE"""),"ПО1")</f>
        <v>ПО1</v>
      </c>
    </row>
    <row r="68" spans="1:14" ht="12.45" hidden="1">
      <c r="A68" t="str">
        <f ca="1">IFERROR(__xludf.DUMMYFUNCTION("""COMPUTED_VALUE"""),"V-3-496")</f>
        <v>V-3-496</v>
      </c>
      <c r="B68" t="str">
        <f ca="1">IFERROR(__xludf.DUMMYFUNCTION("""COMPUTED_VALUE"""),"Старобинский")</f>
        <v>Старобинский</v>
      </c>
      <c r="C68" t="str">
        <f ca="1">IFERROR(__xludf.DUMMYFUNCTION("""COMPUTED_VALUE"""),"Аркадий")</f>
        <v>Аркадий</v>
      </c>
      <c r="D68" t="str">
        <f ca="1">IFERROR(__xludf.DUMMYFUNCTION("""COMPUTED_VALUE"""),"Гимназия 642")</f>
        <v>Гимназия 642</v>
      </c>
      <c r="E68" s="5">
        <f ca="1">IFERROR(__xludf.DUMMYFUNCTION("""COMPUTED_VALUE"""),1)</f>
        <v>1</v>
      </c>
      <c r="F68" s="5">
        <f ca="1">IFERROR(__xludf.DUMMYFUNCTION("""COMPUTED_VALUE"""),2)</f>
        <v>2</v>
      </c>
      <c r="G68" s="5">
        <f ca="1">IFERROR(__xludf.DUMMYFUNCTION("""COMPUTED_VALUE"""),0)</f>
        <v>0</v>
      </c>
      <c r="H68" s="5">
        <f ca="1">IFERROR(__xludf.DUMMYFUNCTION("""COMPUTED_VALUE"""),2)</f>
        <v>2</v>
      </c>
      <c r="I68" s="5">
        <f ca="1">IFERROR(__xludf.DUMMYFUNCTION("""COMPUTED_VALUE"""),5)</f>
        <v>5</v>
      </c>
      <c r="J68" s="5">
        <f ca="1">IFERROR(__xludf.DUMMYFUNCTION("""COMPUTED_VALUE"""),1)</f>
        <v>1</v>
      </c>
      <c r="K68" s="5">
        <f ca="1">IFERROR(__xludf.DUMMYFUNCTION("""COMPUTED_VALUE"""),1)</f>
        <v>1</v>
      </c>
      <c r="L68" s="5">
        <f ca="1">IFERROR(__xludf.DUMMYFUNCTION("""COMPUTED_VALUE"""),1)</f>
        <v>1</v>
      </c>
      <c r="M68">
        <f ca="1">IFERROR(__xludf.DUMMYFUNCTION("""COMPUTED_VALUE"""),13)</f>
        <v>13</v>
      </c>
      <c r="N68" s="8" t="str">
        <f ca="1">IFERROR(__xludf.DUMMYFUNCTION("""COMPUTED_VALUE"""),"ПО1")</f>
        <v>ПО1</v>
      </c>
    </row>
    <row r="69" spans="1:14" ht="12.45" hidden="1">
      <c r="A69" t="str">
        <f ca="1">IFERROR(__xludf.DUMMYFUNCTION("""COMPUTED_VALUE"""),"III-3-123")</f>
        <v>III-3-123</v>
      </c>
      <c r="B69" t="str">
        <f ca="1">IFERROR(__xludf.DUMMYFUNCTION("""COMPUTED_VALUE"""),"Данилин")</f>
        <v>Данилин</v>
      </c>
      <c r="C69" t="str">
        <f ca="1">IFERROR(__xludf.DUMMYFUNCTION("""COMPUTED_VALUE"""),"Максим")</f>
        <v>Максим</v>
      </c>
      <c r="D69" t="str">
        <f ca="1">IFERROR(__xludf.DUMMYFUNCTION("""COMPUTED_VALUE"""),"Школа Квадривиум")</f>
        <v>Школа Квадривиум</v>
      </c>
      <c r="E69" s="5">
        <f ca="1">IFERROR(__xludf.DUMMYFUNCTION("""COMPUTED_VALUE"""),3)</f>
        <v>3</v>
      </c>
      <c r="F69" s="5">
        <f ca="1">IFERROR(__xludf.DUMMYFUNCTION("""COMPUTED_VALUE"""),1)</f>
        <v>1</v>
      </c>
      <c r="G69" s="5">
        <f ca="1">IFERROR(__xludf.DUMMYFUNCTION("""COMPUTED_VALUE"""),3)</f>
        <v>3</v>
      </c>
      <c r="H69" s="5">
        <f ca="1">IFERROR(__xludf.DUMMYFUNCTION("""COMPUTED_VALUE"""),4)</f>
        <v>4</v>
      </c>
      <c r="I69" s="5">
        <f ca="1">IFERROR(__xludf.DUMMYFUNCTION("""COMPUTED_VALUE"""),0)</f>
        <v>0</v>
      </c>
      <c r="J69" s="5">
        <f ca="1">IFERROR(__xludf.DUMMYFUNCTION("""COMPUTED_VALUE"""),0)</f>
        <v>0</v>
      </c>
      <c r="K69" s="5">
        <f ca="1">IFERROR(__xludf.DUMMYFUNCTION("""COMPUTED_VALUE"""),1)</f>
        <v>1</v>
      </c>
      <c r="L69" s="5">
        <f ca="1">IFERROR(__xludf.DUMMYFUNCTION("""COMPUTED_VALUE"""),1)</f>
        <v>1</v>
      </c>
      <c r="M69">
        <f ca="1">IFERROR(__xludf.DUMMYFUNCTION("""COMPUTED_VALUE"""),13)</f>
        <v>13</v>
      </c>
      <c r="N69" s="8" t="str">
        <f ca="1">IFERROR(__xludf.DUMMYFUNCTION("""COMPUTED_VALUE"""),"ПО1")</f>
        <v>ПО1</v>
      </c>
    </row>
    <row r="70" spans="1:14" ht="12.45" hidden="1">
      <c r="A70" t="str">
        <f ca="1">IFERROR(__xludf.DUMMYFUNCTION("""COMPUTED_VALUE"""),"III-3-149")</f>
        <v>III-3-149</v>
      </c>
      <c r="B70" t="str">
        <f ca="1">IFERROR(__xludf.DUMMYFUNCTION("""COMPUTED_VALUE"""),"Железнов")</f>
        <v>Железнов</v>
      </c>
      <c r="C70" t="str">
        <f ca="1">IFERROR(__xludf.DUMMYFUNCTION("""COMPUTED_VALUE"""),"Данила")</f>
        <v>Данила</v>
      </c>
      <c r="D70" t="str">
        <f ca="1">IFERROR(__xludf.DUMMYFUNCTION("""COMPUTED_VALUE"""),"Гимназия 642 гимназия ""Земля и вселенная""")</f>
        <v>Гимназия 642 гимназия "Земля и вселенная"</v>
      </c>
      <c r="E70" s="5">
        <f ca="1">IFERROR(__xludf.DUMMYFUNCTION("""COMPUTED_VALUE"""),1)</f>
        <v>1</v>
      </c>
      <c r="F70" s="5">
        <f ca="1">IFERROR(__xludf.DUMMYFUNCTION("""COMPUTED_VALUE"""),1)</f>
        <v>1</v>
      </c>
      <c r="G70" s="5">
        <f ca="1">IFERROR(__xludf.DUMMYFUNCTION("""COMPUTED_VALUE"""),3)</f>
        <v>3</v>
      </c>
      <c r="H70" s="5">
        <f ca="1">IFERROR(__xludf.DUMMYFUNCTION("""COMPUTED_VALUE"""),4)</f>
        <v>4</v>
      </c>
      <c r="I70" s="5">
        <f ca="1">IFERROR(__xludf.DUMMYFUNCTION("""COMPUTED_VALUE"""),3)</f>
        <v>3</v>
      </c>
      <c r="J70" s="5">
        <f ca="1">IFERROR(__xludf.DUMMYFUNCTION("""COMPUTED_VALUE"""),0)</f>
        <v>0</v>
      </c>
      <c r="K70" s="5">
        <f ca="1">IFERROR(__xludf.DUMMYFUNCTION("""COMPUTED_VALUE"""),1)</f>
        <v>1</v>
      </c>
      <c r="L70" s="5">
        <f ca="1">IFERROR(__xludf.DUMMYFUNCTION("""COMPUTED_VALUE"""),0)</f>
        <v>0</v>
      </c>
      <c r="M70">
        <f ca="1">IFERROR(__xludf.DUMMYFUNCTION("""COMPUTED_VALUE"""),13)</f>
        <v>13</v>
      </c>
      <c r="N70" s="8" t="str">
        <f ca="1">IFERROR(__xludf.DUMMYFUNCTION("""COMPUTED_VALUE"""),"ПО1")</f>
        <v>ПО1</v>
      </c>
    </row>
    <row r="71" spans="1:14" ht="12.45" hidden="1">
      <c r="A71" t="str">
        <f ca="1">IFERROR(__xludf.DUMMYFUNCTION("""COMPUTED_VALUE"""),"V-3-349")</f>
        <v>V-3-349</v>
      </c>
      <c r="B71" t="str">
        <f ca="1">IFERROR(__xludf.DUMMYFUNCTION("""COMPUTED_VALUE"""),"Мурашова")</f>
        <v>Мурашова</v>
      </c>
      <c r="C71" t="str">
        <f ca="1">IFERROR(__xludf.DUMMYFUNCTION("""COMPUTED_VALUE"""),"Анастасия")</f>
        <v>Анастасия</v>
      </c>
      <c r="D71" t="str">
        <f ca="1">IFERROR(__xludf.DUMMYFUNCTION("""COMPUTED_VALUE"""),"Школа 557")</f>
        <v>Школа 557</v>
      </c>
      <c r="E71" s="5">
        <f ca="1">IFERROR(__xludf.DUMMYFUNCTION("""COMPUTED_VALUE"""),3)</f>
        <v>3</v>
      </c>
      <c r="F71" s="5">
        <f ca="1">IFERROR(__xludf.DUMMYFUNCTION("""COMPUTED_VALUE"""),0)</f>
        <v>0</v>
      </c>
      <c r="G71" s="5">
        <f ca="1">IFERROR(__xludf.DUMMYFUNCTION("""COMPUTED_VALUE"""),3)</f>
        <v>3</v>
      </c>
      <c r="H71" s="5">
        <f ca="1">IFERROR(__xludf.DUMMYFUNCTION("""COMPUTED_VALUE"""),0)</f>
        <v>0</v>
      </c>
      <c r="I71" s="5">
        <f ca="1">IFERROR(__xludf.DUMMYFUNCTION("""COMPUTED_VALUE"""),3)</f>
        <v>3</v>
      </c>
      <c r="J71" s="5">
        <f ca="1">IFERROR(__xludf.DUMMYFUNCTION("""COMPUTED_VALUE"""),1)</f>
        <v>1</v>
      </c>
      <c r="K71" s="5">
        <f ca="1">IFERROR(__xludf.DUMMYFUNCTION("""COMPUTED_VALUE"""),2)</f>
        <v>2</v>
      </c>
      <c r="L71" s="5">
        <f ca="1">IFERROR(__xludf.DUMMYFUNCTION("""COMPUTED_VALUE"""),1)</f>
        <v>1</v>
      </c>
      <c r="M71">
        <f ca="1">IFERROR(__xludf.DUMMYFUNCTION("""COMPUTED_VALUE"""),13)</f>
        <v>13</v>
      </c>
      <c r="N71" s="8" t="str">
        <f ca="1">IFERROR(__xludf.DUMMYFUNCTION("""COMPUTED_VALUE"""),"ПО1")</f>
        <v>ПО1</v>
      </c>
    </row>
    <row r="72" spans="1:14" ht="12.45" hidden="1">
      <c r="A72" t="str">
        <f ca="1">IFERROR(__xludf.DUMMYFUNCTION("""COMPUTED_VALUE"""),"V-3-577")</f>
        <v>V-3-577</v>
      </c>
      <c r="B72" t="str">
        <f ca="1">IFERROR(__xludf.DUMMYFUNCTION("""COMPUTED_VALUE"""),"Шандыбин")</f>
        <v>Шандыбин</v>
      </c>
      <c r="C72" t="str">
        <f ca="1">IFERROR(__xludf.DUMMYFUNCTION("""COMPUTED_VALUE"""),"Иван")</f>
        <v>Иван</v>
      </c>
      <c r="D72" t="str">
        <f ca="1">IFERROR(__xludf.DUMMYFUNCTION("""COMPUTED_VALUE"""),"Школа 534")</f>
        <v>Школа 534</v>
      </c>
      <c r="E72" s="5">
        <f ca="1">IFERROR(__xludf.DUMMYFUNCTION("""COMPUTED_VALUE"""),1)</f>
        <v>1</v>
      </c>
      <c r="F72" s="5">
        <f ca="1">IFERROR(__xludf.DUMMYFUNCTION("""COMPUTED_VALUE"""),0)</f>
        <v>0</v>
      </c>
      <c r="G72" s="5">
        <f ca="1">IFERROR(__xludf.DUMMYFUNCTION("""COMPUTED_VALUE"""),1)</f>
        <v>1</v>
      </c>
      <c r="H72" s="5">
        <f ca="1">IFERROR(__xludf.DUMMYFUNCTION("""COMPUTED_VALUE"""),6)</f>
        <v>6</v>
      </c>
      <c r="I72" s="5">
        <f ca="1">IFERROR(__xludf.DUMMYFUNCTION("""COMPUTED_VALUE"""),3)</f>
        <v>3</v>
      </c>
      <c r="J72" s="5">
        <f ca="1">IFERROR(__xludf.DUMMYFUNCTION("""COMPUTED_VALUE"""),0)</f>
        <v>0</v>
      </c>
      <c r="K72" s="5">
        <f ca="1">IFERROR(__xludf.DUMMYFUNCTION("""COMPUTED_VALUE"""),1)</f>
        <v>1</v>
      </c>
      <c r="L72" s="5">
        <f ca="1">IFERROR(__xludf.DUMMYFUNCTION("""COMPUTED_VALUE"""),1)</f>
        <v>1</v>
      </c>
      <c r="M72">
        <f ca="1">IFERROR(__xludf.DUMMYFUNCTION("""COMPUTED_VALUE"""),13)</f>
        <v>13</v>
      </c>
      <c r="N72" s="8" t="str">
        <f ca="1">IFERROR(__xludf.DUMMYFUNCTION("""COMPUTED_VALUE"""),"ПО1")</f>
        <v>ПО1</v>
      </c>
    </row>
    <row r="73" spans="1:14" ht="12.45" hidden="1">
      <c r="A73" t="str">
        <f ca="1">IFERROR(__xludf.DUMMYFUNCTION("""COMPUTED_VALUE"""),"III-3-293")</f>
        <v>III-3-293</v>
      </c>
      <c r="B73" t="str">
        <f ca="1">IFERROR(__xludf.DUMMYFUNCTION("""COMPUTED_VALUE"""),"Литвинова")</f>
        <v>Литвинова</v>
      </c>
      <c r="C73" t="str">
        <f ca="1">IFERROR(__xludf.DUMMYFUNCTION("""COMPUTED_VALUE"""),"Наталия")</f>
        <v>Наталия</v>
      </c>
      <c r="D73" t="str">
        <f ca="1">IFERROR(__xludf.DUMMYFUNCTION("""COMPUTED_VALUE"""),"Гимназия 157")</f>
        <v>Гимназия 157</v>
      </c>
      <c r="E73" s="5">
        <f ca="1">IFERROR(__xludf.DUMMYFUNCTION("""COMPUTED_VALUE"""),1)</f>
        <v>1</v>
      </c>
      <c r="F73" s="5">
        <f ca="1">IFERROR(__xludf.DUMMYFUNCTION("""COMPUTED_VALUE"""),1)</f>
        <v>1</v>
      </c>
      <c r="G73" s="5">
        <f ca="1">IFERROR(__xludf.DUMMYFUNCTION("""COMPUTED_VALUE"""),2)</f>
        <v>2</v>
      </c>
      <c r="H73" s="5">
        <f ca="1">IFERROR(__xludf.DUMMYFUNCTION("""COMPUTED_VALUE"""),2)</f>
        <v>2</v>
      </c>
      <c r="I73" s="5">
        <f ca="1">IFERROR(__xludf.DUMMYFUNCTION("""COMPUTED_VALUE"""),2)</f>
        <v>2</v>
      </c>
      <c r="J73" s="5">
        <f ca="1">IFERROR(__xludf.DUMMYFUNCTION("""COMPUTED_VALUE"""),1)</f>
        <v>1</v>
      </c>
      <c r="K73" s="5">
        <f ca="1">IFERROR(__xludf.DUMMYFUNCTION("""COMPUTED_VALUE"""),4)</f>
        <v>4</v>
      </c>
      <c r="L73" s="5">
        <f ca="1">IFERROR(__xludf.DUMMYFUNCTION("""COMPUTED_VALUE"""),0)</f>
        <v>0</v>
      </c>
      <c r="M73">
        <f ca="1">IFERROR(__xludf.DUMMYFUNCTION("""COMPUTED_VALUE"""),13)</f>
        <v>13</v>
      </c>
      <c r="N73" s="8" t="str">
        <f ca="1">IFERROR(__xludf.DUMMYFUNCTION("""COMPUTED_VALUE"""),"ПО1")</f>
        <v>ПО1</v>
      </c>
    </row>
    <row r="74" spans="1:14" ht="12.45" hidden="1">
      <c r="A74" t="str">
        <f ca="1">IFERROR(__xludf.DUMMYFUNCTION("""COMPUTED_VALUE"""),"V-3-459")</f>
        <v>V-3-459</v>
      </c>
      <c r="B74" t="str">
        <f ca="1">IFERROR(__xludf.DUMMYFUNCTION("""COMPUTED_VALUE"""),"Самородин")</f>
        <v>Самородин</v>
      </c>
      <c r="C74" t="str">
        <f ca="1">IFERROR(__xludf.DUMMYFUNCTION("""COMPUTED_VALUE"""),"Захар")</f>
        <v>Захар</v>
      </c>
      <c r="D74" t="str">
        <f ca="1">IFERROR(__xludf.DUMMYFUNCTION("""COMPUTED_VALUE"""),"Школа 347")</f>
        <v>Школа 347</v>
      </c>
      <c r="E74" s="5">
        <f ca="1">IFERROR(__xludf.DUMMYFUNCTION("""COMPUTED_VALUE"""),3)</f>
        <v>3</v>
      </c>
      <c r="F74" s="5">
        <f ca="1">IFERROR(__xludf.DUMMYFUNCTION("""COMPUTED_VALUE"""),0)</f>
        <v>0</v>
      </c>
      <c r="G74" s="5">
        <f ca="1">IFERROR(__xludf.DUMMYFUNCTION("""COMPUTED_VALUE"""),3)</f>
        <v>3</v>
      </c>
      <c r="H74" s="5">
        <f ca="1">IFERROR(__xludf.DUMMYFUNCTION("""COMPUTED_VALUE"""),2)</f>
        <v>2</v>
      </c>
      <c r="I74" s="5">
        <f ca="1">IFERROR(__xludf.DUMMYFUNCTION("""COMPUTED_VALUE"""),2)</f>
        <v>2</v>
      </c>
      <c r="J74" s="5">
        <f ca="1">IFERROR(__xludf.DUMMYFUNCTION("""COMPUTED_VALUE"""),1)</f>
        <v>1</v>
      </c>
      <c r="K74" s="5">
        <f ca="1">IFERROR(__xludf.DUMMYFUNCTION("""COMPUTED_VALUE"""),1)</f>
        <v>1</v>
      </c>
      <c r="L74" s="5">
        <f ca="1">IFERROR(__xludf.DUMMYFUNCTION("""COMPUTED_VALUE"""),1)</f>
        <v>1</v>
      </c>
      <c r="M74">
        <f ca="1">IFERROR(__xludf.DUMMYFUNCTION("""COMPUTED_VALUE"""),13)</f>
        <v>13</v>
      </c>
      <c r="N74" s="8" t="str">
        <f ca="1">IFERROR(__xludf.DUMMYFUNCTION("""COMPUTED_VALUE"""),"ПО1")</f>
        <v>ПО1</v>
      </c>
    </row>
    <row r="75" spans="1:14" ht="12.45" hidden="1">
      <c r="A75" t="str">
        <f ca="1">IFERROR(__xludf.DUMMYFUNCTION("""COMPUTED_VALUE"""),"III-3-230")</f>
        <v>III-3-230</v>
      </c>
      <c r="B75" t="str">
        <f ca="1">IFERROR(__xludf.DUMMYFUNCTION("""COMPUTED_VALUE"""),"Кондратьев")</f>
        <v>Кондратьев</v>
      </c>
      <c r="C75" t="str">
        <f ca="1">IFERROR(__xludf.DUMMYFUNCTION("""COMPUTED_VALUE"""),"Иван")</f>
        <v>Иван</v>
      </c>
      <c r="D75" t="str">
        <f ca="1">IFERROR(__xludf.DUMMYFUNCTION("""COMPUTED_VALUE"""),"Школа Кузьмоловская средняя школа №1")</f>
        <v>Школа Кузьмоловская средняя школа №1</v>
      </c>
      <c r="E75" s="5">
        <f ca="1">IFERROR(__xludf.DUMMYFUNCTION("""COMPUTED_VALUE"""),0)</f>
        <v>0</v>
      </c>
      <c r="F75" s="5">
        <f ca="1">IFERROR(__xludf.DUMMYFUNCTION("""COMPUTED_VALUE"""),2)</f>
        <v>2</v>
      </c>
      <c r="G75" s="5">
        <f ca="1">IFERROR(__xludf.DUMMYFUNCTION("""COMPUTED_VALUE"""),3)</f>
        <v>3</v>
      </c>
      <c r="H75" s="5">
        <f ca="1">IFERROR(__xludf.DUMMYFUNCTION("""COMPUTED_VALUE"""),4)</f>
        <v>4</v>
      </c>
      <c r="I75" s="5">
        <f ca="1">IFERROR(__xludf.DUMMYFUNCTION("""COMPUTED_VALUE"""),0)</f>
        <v>0</v>
      </c>
      <c r="J75" s="5">
        <f ca="1">IFERROR(__xludf.DUMMYFUNCTION("""COMPUTED_VALUE"""),2)</f>
        <v>2</v>
      </c>
      <c r="K75" s="5">
        <f ca="1">IFERROR(__xludf.DUMMYFUNCTION("""COMPUTED_VALUE"""),2)</f>
        <v>2</v>
      </c>
      <c r="L75" s="5">
        <f ca="1">IFERROR(__xludf.DUMMYFUNCTION("""COMPUTED_VALUE"""),0)</f>
        <v>0</v>
      </c>
      <c r="M75">
        <f ca="1">IFERROR(__xludf.DUMMYFUNCTION("""COMPUTED_VALUE"""),13)</f>
        <v>13</v>
      </c>
      <c r="N75" s="8" t="str">
        <f ca="1">IFERROR(__xludf.DUMMYFUNCTION("""COMPUTED_VALUE"""),"ПО1")</f>
        <v>ПО1</v>
      </c>
    </row>
    <row r="76" spans="1:14" ht="12.45" hidden="1">
      <c r="A76" t="str">
        <f ca="1">IFERROR(__xludf.DUMMYFUNCTION("""COMPUTED_VALUE"""),"V-3-303")</f>
        <v>V-3-303</v>
      </c>
      <c r="B76" t="str">
        <f ca="1">IFERROR(__xludf.DUMMYFUNCTION("""COMPUTED_VALUE"""),"Лухт")</f>
        <v>Лухт</v>
      </c>
      <c r="C76" t="str">
        <f ca="1">IFERROR(__xludf.DUMMYFUNCTION("""COMPUTED_VALUE"""),"Яна")</f>
        <v>Яна</v>
      </c>
      <c r="D76" t="str">
        <f ca="1">IFERROR(__xludf.DUMMYFUNCTION("""COMPUTED_VALUE"""),"Школа 292")</f>
        <v>Школа 292</v>
      </c>
      <c r="E76" s="5">
        <f ca="1">IFERROR(__xludf.DUMMYFUNCTION("""COMPUTED_VALUE"""),3)</f>
        <v>3</v>
      </c>
      <c r="F76" s="5">
        <f ca="1">IFERROR(__xludf.DUMMYFUNCTION("""COMPUTED_VALUE"""),0)</f>
        <v>0</v>
      </c>
      <c r="G76" s="5">
        <f ca="1">IFERROR(__xludf.DUMMYFUNCTION("""COMPUTED_VALUE"""),3)</f>
        <v>3</v>
      </c>
      <c r="H76" s="5">
        <f ca="1">IFERROR(__xludf.DUMMYFUNCTION("""COMPUTED_VALUE"""),2)</f>
        <v>2</v>
      </c>
      <c r="I76" s="5">
        <f ca="1">IFERROR(__xludf.DUMMYFUNCTION("""COMPUTED_VALUE"""),0)</f>
        <v>0</v>
      </c>
      <c r="J76" s="5">
        <f ca="1">IFERROR(__xludf.DUMMYFUNCTION("""COMPUTED_VALUE"""),1)</f>
        <v>1</v>
      </c>
      <c r="K76" s="5">
        <f ca="1">IFERROR(__xludf.DUMMYFUNCTION("""COMPUTED_VALUE"""),4)</f>
        <v>4</v>
      </c>
      <c r="L76" s="5">
        <f ca="1">IFERROR(__xludf.DUMMYFUNCTION("""COMPUTED_VALUE"""),0)</f>
        <v>0</v>
      </c>
      <c r="M76">
        <f ca="1">IFERROR(__xludf.DUMMYFUNCTION("""COMPUTED_VALUE"""),13)</f>
        <v>13</v>
      </c>
      <c r="N76" s="8" t="str">
        <f ca="1">IFERROR(__xludf.DUMMYFUNCTION("""COMPUTED_VALUE"""),"ПО1")</f>
        <v>ПО1</v>
      </c>
    </row>
    <row r="77" spans="1:14" ht="12.45" hidden="1">
      <c r="A77" t="str">
        <f ca="1">IFERROR(__xludf.DUMMYFUNCTION("""COMPUTED_VALUE"""),"V-3-386")</f>
        <v>V-3-386</v>
      </c>
      <c r="B77" t="str">
        <f ca="1">IFERROR(__xludf.DUMMYFUNCTION("""COMPUTED_VALUE"""),"Орехова")</f>
        <v>Орехова</v>
      </c>
      <c r="C77" t="str">
        <f ca="1">IFERROR(__xludf.DUMMYFUNCTION("""COMPUTED_VALUE"""),"Элиза")</f>
        <v>Элиза</v>
      </c>
      <c r="D77" t="str">
        <f ca="1">IFERROR(__xludf.DUMMYFUNCTION("""COMPUTED_VALUE"""),"Гимназия 56")</f>
        <v>Гимназия 56</v>
      </c>
      <c r="E77" s="5">
        <f ca="1">IFERROR(__xludf.DUMMYFUNCTION("""COMPUTED_VALUE"""),3)</f>
        <v>3</v>
      </c>
      <c r="F77" s="5">
        <f ca="1">IFERROR(__xludf.DUMMYFUNCTION("""COMPUTED_VALUE"""),1)</f>
        <v>1</v>
      </c>
      <c r="G77" s="5">
        <f ca="1">IFERROR(__xludf.DUMMYFUNCTION("""COMPUTED_VALUE"""),3)</f>
        <v>3</v>
      </c>
      <c r="H77" s="5">
        <f ca="1">IFERROR(__xludf.DUMMYFUNCTION("""COMPUTED_VALUE"""),4)</f>
        <v>4</v>
      </c>
      <c r="I77" s="5">
        <f ca="1">IFERROR(__xludf.DUMMYFUNCTION("""COMPUTED_VALUE"""),0)</f>
        <v>0</v>
      </c>
      <c r="J77" s="5">
        <f ca="1">IFERROR(__xludf.DUMMYFUNCTION("""COMPUTED_VALUE"""),1)</f>
        <v>1</v>
      </c>
      <c r="K77" s="5">
        <f ca="1">IFERROR(__xludf.DUMMYFUNCTION("""COMPUTED_VALUE"""),1)</f>
        <v>1</v>
      </c>
      <c r="L77" s="5">
        <f ca="1">IFERROR(__xludf.DUMMYFUNCTION("""COMPUTED_VALUE"""),0)</f>
        <v>0</v>
      </c>
      <c r="M77">
        <f ca="1">IFERROR(__xludf.DUMMYFUNCTION("""COMPUTED_VALUE"""),13)</f>
        <v>13</v>
      </c>
      <c r="N77" s="8" t="str">
        <f ca="1">IFERROR(__xludf.DUMMYFUNCTION("""COMPUTED_VALUE"""),"ПО1")</f>
        <v>ПО1</v>
      </c>
    </row>
    <row r="78" spans="1:14" ht="12.45" hidden="1">
      <c r="A78" t="str">
        <f ca="1">IFERROR(__xludf.DUMMYFUNCTION("""COMPUTED_VALUE"""),"V-3-405")</f>
        <v>V-3-405</v>
      </c>
      <c r="B78" t="str">
        <f ca="1">IFERROR(__xludf.DUMMYFUNCTION("""COMPUTED_VALUE"""),"Перминов")</f>
        <v>Перминов</v>
      </c>
      <c r="C78" t="str">
        <f ca="1">IFERROR(__xludf.DUMMYFUNCTION("""COMPUTED_VALUE"""),"Леонид")</f>
        <v>Леонид</v>
      </c>
      <c r="D78" t="str">
        <f ca="1">IFERROR(__xludf.DUMMYFUNCTION("""COMPUTED_VALUE"""),"Лицей 369")</f>
        <v>Лицей 369</v>
      </c>
      <c r="E78" s="5">
        <f ca="1">IFERROR(__xludf.DUMMYFUNCTION("""COMPUTED_VALUE"""),3)</f>
        <v>3</v>
      </c>
      <c r="F78" s="5">
        <f ca="1">IFERROR(__xludf.DUMMYFUNCTION("""COMPUTED_VALUE"""),5)</f>
        <v>5</v>
      </c>
      <c r="G78" s="5">
        <f ca="1">IFERROR(__xludf.DUMMYFUNCTION("""COMPUTED_VALUE"""),1)</f>
        <v>1</v>
      </c>
      <c r="H78" s="5">
        <f ca="1">IFERROR(__xludf.DUMMYFUNCTION("""COMPUTED_VALUE"""),4)</f>
        <v>4</v>
      </c>
      <c r="I78" s="5">
        <f ca="1">IFERROR(__xludf.DUMMYFUNCTION("""COMPUTED_VALUE"""),0)</f>
        <v>0</v>
      </c>
      <c r="J78" s="5">
        <f ca="1">IFERROR(__xludf.DUMMYFUNCTION("""COMPUTED_VALUE"""),0)</f>
        <v>0</v>
      </c>
      <c r="K78" s="5">
        <f ca="1">IFERROR(__xludf.DUMMYFUNCTION("""COMPUTED_VALUE"""),0)</f>
        <v>0</v>
      </c>
      <c r="L78" s="5">
        <f ca="1">IFERROR(__xludf.DUMMYFUNCTION("""COMPUTED_VALUE"""),0)</f>
        <v>0</v>
      </c>
      <c r="M78">
        <f ca="1">IFERROR(__xludf.DUMMYFUNCTION("""COMPUTED_VALUE"""),13)</f>
        <v>13</v>
      </c>
      <c r="N78" s="8" t="str">
        <f ca="1">IFERROR(__xludf.DUMMYFUNCTION("""COMPUTED_VALUE"""),"ПО1")</f>
        <v>ПО1</v>
      </c>
    </row>
    <row r="79" spans="1:14" ht="12.45" hidden="1">
      <c r="A79" t="str">
        <f ca="1">IFERROR(__xludf.DUMMYFUNCTION("""COMPUTED_VALUE"""),"III-3-290")</f>
        <v>III-3-290</v>
      </c>
      <c r="B79" t="str">
        <f ca="1">IFERROR(__xludf.DUMMYFUNCTION("""COMPUTED_VALUE"""),"Лисин")</f>
        <v>Лисин</v>
      </c>
      <c r="C79" t="str">
        <f ca="1">IFERROR(__xludf.DUMMYFUNCTION("""COMPUTED_VALUE"""),"Тимур")</f>
        <v>Тимур</v>
      </c>
      <c r="D79" t="str">
        <f ca="1">IFERROR(__xludf.DUMMYFUNCTION("""COMPUTED_VALUE"""),"Школа 45")</f>
        <v>Школа 45</v>
      </c>
      <c r="E79" s="5">
        <f ca="1">IFERROR(__xludf.DUMMYFUNCTION("""COMPUTED_VALUE"""),0)</f>
        <v>0</v>
      </c>
      <c r="F79" s="5">
        <f ca="1">IFERROR(__xludf.DUMMYFUNCTION("""COMPUTED_VALUE"""),1)</f>
        <v>1</v>
      </c>
      <c r="G79" s="5">
        <f ca="1">IFERROR(__xludf.DUMMYFUNCTION("""COMPUTED_VALUE"""),1)</f>
        <v>1</v>
      </c>
      <c r="H79" s="5">
        <f ca="1">IFERROR(__xludf.DUMMYFUNCTION("""COMPUTED_VALUE"""),6)</f>
        <v>6</v>
      </c>
      <c r="I79" s="5">
        <f ca="1">IFERROR(__xludf.DUMMYFUNCTION("""COMPUTED_VALUE"""),0)</f>
        <v>0</v>
      </c>
      <c r="J79" s="5">
        <f ca="1">IFERROR(__xludf.DUMMYFUNCTION("""COMPUTED_VALUE"""),1)</f>
        <v>1</v>
      </c>
      <c r="K79" s="5">
        <f ca="1">IFERROR(__xludf.DUMMYFUNCTION("""COMPUTED_VALUE"""),4)</f>
        <v>4</v>
      </c>
      <c r="L79" s="5">
        <f ca="1">IFERROR(__xludf.DUMMYFUNCTION("""COMPUTED_VALUE"""),0)</f>
        <v>0</v>
      </c>
      <c r="M79">
        <f ca="1">IFERROR(__xludf.DUMMYFUNCTION("""COMPUTED_VALUE"""),13)</f>
        <v>13</v>
      </c>
      <c r="N79" s="8" t="str">
        <f ca="1">IFERROR(__xludf.DUMMYFUNCTION("""COMPUTED_VALUE"""),"ПО1")</f>
        <v>ПО1</v>
      </c>
    </row>
    <row r="80" spans="1:14" ht="12.45" hidden="1">
      <c r="A80" t="str">
        <f ca="1">IFERROR(__xludf.DUMMYFUNCTION("""COMPUTED_VALUE"""),"V-3-529")</f>
        <v>V-3-529</v>
      </c>
      <c r="B80" t="str">
        <f ca="1">IFERROR(__xludf.DUMMYFUNCTION("""COMPUTED_VALUE"""),"Тух")</f>
        <v>Тух</v>
      </c>
      <c r="C80" t="str">
        <f ca="1">IFERROR(__xludf.DUMMYFUNCTION("""COMPUTED_VALUE"""),"Александра")</f>
        <v>Александра</v>
      </c>
      <c r="D80" t="str">
        <f ca="1">IFERROR(__xludf.DUMMYFUNCTION("""COMPUTED_VALUE"""),"Школа 28")</f>
        <v>Школа 28</v>
      </c>
      <c r="E80" s="5">
        <f ca="1">IFERROR(__xludf.DUMMYFUNCTION("""COMPUTED_VALUE"""),1)</f>
        <v>1</v>
      </c>
      <c r="F80" s="5">
        <f ca="1">IFERROR(__xludf.DUMMYFUNCTION("""COMPUTED_VALUE"""),5)</f>
        <v>5</v>
      </c>
      <c r="G80" s="5">
        <f ca="1">IFERROR(__xludf.DUMMYFUNCTION("""COMPUTED_VALUE"""),2)</f>
        <v>2</v>
      </c>
      <c r="H80" s="5">
        <f ca="1">IFERROR(__xludf.DUMMYFUNCTION("""COMPUTED_VALUE"""),0)</f>
        <v>0</v>
      </c>
      <c r="I80" s="5">
        <f ca="1">IFERROR(__xludf.DUMMYFUNCTION("""COMPUTED_VALUE"""),0)</f>
        <v>0</v>
      </c>
      <c r="J80" s="5">
        <f ca="1">IFERROR(__xludf.DUMMYFUNCTION("""COMPUTED_VALUE"""),1)</f>
        <v>1</v>
      </c>
      <c r="K80" s="5">
        <f ca="1">IFERROR(__xludf.DUMMYFUNCTION("""COMPUTED_VALUE"""),3)</f>
        <v>3</v>
      </c>
      <c r="L80" s="5">
        <f ca="1">IFERROR(__xludf.DUMMYFUNCTION("""COMPUTED_VALUE"""),1)</f>
        <v>1</v>
      </c>
      <c r="M80">
        <f ca="1">IFERROR(__xludf.DUMMYFUNCTION("""COMPUTED_VALUE"""),13)</f>
        <v>13</v>
      </c>
      <c r="N80" s="8" t="str">
        <f ca="1">IFERROR(__xludf.DUMMYFUNCTION("""COMPUTED_VALUE"""),"ПО1")</f>
        <v>ПО1</v>
      </c>
    </row>
    <row r="81" spans="1:14" ht="12.45" hidden="1">
      <c r="A81" t="str">
        <f ca="1">IFERROR(__xludf.DUMMYFUNCTION("""COMPUTED_VALUE"""),"III-3-089")</f>
        <v>III-3-089</v>
      </c>
      <c r="B81" t="str">
        <f ca="1">IFERROR(__xludf.DUMMYFUNCTION("""COMPUTED_VALUE"""),"Волконская")</f>
        <v>Волконская</v>
      </c>
      <c r="C81" t="str">
        <f ca="1">IFERROR(__xludf.DUMMYFUNCTION("""COMPUTED_VALUE"""),"Екатерина")</f>
        <v>Екатерина</v>
      </c>
      <c r="D81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81" s="5">
        <f ca="1">IFERROR(__xludf.DUMMYFUNCTION("""COMPUTED_VALUE"""),0)</f>
        <v>0</v>
      </c>
      <c r="F81" s="5">
        <f ca="1">IFERROR(__xludf.DUMMYFUNCTION("""COMPUTED_VALUE"""),1)</f>
        <v>1</v>
      </c>
      <c r="G81" s="5">
        <f ca="1">IFERROR(__xludf.DUMMYFUNCTION("""COMPUTED_VALUE"""),3)</f>
        <v>3</v>
      </c>
      <c r="H81" s="5">
        <f ca="1">IFERROR(__xludf.DUMMYFUNCTION("""COMPUTED_VALUE"""),0)</f>
        <v>0</v>
      </c>
      <c r="I81" s="5">
        <f ca="1">IFERROR(__xludf.DUMMYFUNCTION("""COMPUTED_VALUE"""),5)</f>
        <v>5</v>
      </c>
      <c r="J81" s="5">
        <f ca="1">IFERROR(__xludf.DUMMYFUNCTION("""COMPUTED_VALUE"""),1)</f>
        <v>1</v>
      </c>
      <c r="K81" s="5">
        <f ca="1">IFERROR(__xludf.DUMMYFUNCTION("""COMPUTED_VALUE"""),2)</f>
        <v>2</v>
      </c>
      <c r="L81" s="5">
        <f ca="1">IFERROR(__xludf.DUMMYFUNCTION("""COMPUTED_VALUE"""),0)</f>
        <v>0</v>
      </c>
      <c r="M81">
        <f ca="1">IFERROR(__xludf.DUMMYFUNCTION("""COMPUTED_VALUE"""),12)</f>
        <v>12</v>
      </c>
      <c r="N81" s="8" t="str">
        <f ca="1">IFERROR(__xludf.DUMMYFUNCTION("""COMPUTED_VALUE"""),"ПО2")</f>
        <v>ПО2</v>
      </c>
    </row>
    <row r="82" spans="1:14" ht="12.45" hidden="1">
      <c r="A82" t="str">
        <f ca="1">IFERROR(__xludf.DUMMYFUNCTION("""COMPUTED_VALUE"""),"V-3-346")</f>
        <v>V-3-346</v>
      </c>
      <c r="B82" t="str">
        <f ca="1">IFERROR(__xludf.DUMMYFUNCTION("""COMPUTED_VALUE"""),"Муниц")</f>
        <v>Муниц</v>
      </c>
      <c r="C82" t="str">
        <f ca="1">IFERROR(__xludf.DUMMYFUNCTION("""COMPUTED_VALUE"""),"Арина")</f>
        <v>Арина</v>
      </c>
      <c r="D82" t="str">
        <f ca="1">IFERROR(__xludf.DUMMYFUNCTION("""COMPUTED_VALUE"""),"Школа 246")</f>
        <v>Школа 246</v>
      </c>
      <c r="E82" s="5">
        <f ca="1">IFERROR(__xludf.DUMMYFUNCTION("""COMPUTED_VALUE"""),0)</f>
        <v>0</v>
      </c>
      <c r="F82" s="5">
        <f ca="1">IFERROR(__xludf.DUMMYFUNCTION("""COMPUTED_VALUE"""),1)</f>
        <v>1</v>
      </c>
      <c r="G82" s="5">
        <f ca="1">IFERROR(__xludf.DUMMYFUNCTION("""COMPUTED_VALUE"""),3)</f>
        <v>3</v>
      </c>
      <c r="H82" s="5">
        <f ca="1">IFERROR(__xludf.DUMMYFUNCTION("""COMPUTED_VALUE"""),0)</f>
        <v>0</v>
      </c>
      <c r="I82" s="5">
        <f ca="1">IFERROR(__xludf.DUMMYFUNCTION("""COMPUTED_VALUE"""),3)</f>
        <v>3</v>
      </c>
      <c r="J82" s="5">
        <f ca="1">IFERROR(__xludf.DUMMYFUNCTION("""COMPUTED_VALUE"""),1)</f>
        <v>1</v>
      </c>
      <c r="K82" s="5">
        <f ca="1">IFERROR(__xludf.DUMMYFUNCTION("""COMPUTED_VALUE"""),4)</f>
        <v>4</v>
      </c>
      <c r="L82" s="5">
        <f ca="1">IFERROR(__xludf.DUMMYFUNCTION("""COMPUTED_VALUE"""),0)</f>
        <v>0</v>
      </c>
      <c r="M82">
        <f ca="1">IFERROR(__xludf.DUMMYFUNCTION("""COMPUTED_VALUE"""),12)</f>
        <v>12</v>
      </c>
      <c r="N82" s="8" t="str">
        <f ca="1">IFERROR(__xludf.DUMMYFUNCTION("""COMPUTED_VALUE"""),"ПО2")</f>
        <v>ПО2</v>
      </c>
    </row>
    <row r="83" spans="1:14" ht="12.45" hidden="1">
      <c r="A83" t="str">
        <f ca="1">IFERROR(__xludf.DUMMYFUNCTION("""COMPUTED_VALUE"""),"III-3-296")</f>
        <v>III-3-296</v>
      </c>
      <c r="B83" t="str">
        <f ca="1">IFERROR(__xludf.DUMMYFUNCTION("""COMPUTED_VALUE"""),"Ломоносов")</f>
        <v>Ломоносов</v>
      </c>
      <c r="C83" t="str">
        <f ca="1">IFERROR(__xludf.DUMMYFUNCTION("""COMPUTED_VALUE"""),"Демьян")</f>
        <v>Демьян</v>
      </c>
      <c r="D83" t="str">
        <f ca="1">IFERROR(__xludf.DUMMYFUNCTION("""COMPUTED_VALUE"""),"Лицей 344")</f>
        <v>Лицей 344</v>
      </c>
      <c r="E83" s="5">
        <f ca="1">IFERROR(__xludf.DUMMYFUNCTION("""COMPUTED_VALUE"""),1)</f>
        <v>1</v>
      </c>
      <c r="F83" s="5">
        <f ca="1">IFERROR(__xludf.DUMMYFUNCTION("""COMPUTED_VALUE"""),2)</f>
        <v>2</v>
      </c>
      <c r="G83" s="5">
        <f ca="1">IFERROR(__xludf.DUMMYFUNCTION("""COMPUTED_VALUE"""),2)</f>
        <v>2</v>
      </c>
      <c r="H83" s="5">
        <f ca="1">IFERROR(__xludf.DUMMYFUNCTION("""COMPUTED_VALUE"""),0)</f>
        <v>0</v>
      </c>
      <c r="I83" s="5">
        <f ca="1">IFERROR(__xludf.DUMMYFUNCTION("""COMPUTED_VALUE"""),3)</f>
        <v>3</v>
      </c>
      <c r="J83" s="5">
        <f ca="1">IFERROR(__xludf.DUMMYFUNCTION("""COMPUTED_VALUE"""),0)</f>
        <v>0</v>
      </c>
      <c r="K83" s="5">
        <f ca="1">IFERROR(__xludf.DUMMYFUNCTION("""COMPUTED_VALUE"""),3)</f>
        <v>3</v>
      </c>
      <c r="L83" s="5">
        <f ca="1">IFERROR(__xludf.DUMMYFUNCTION("""COMPUTED_VALUE"""),1)</f>
        <v>1</v>
      </c>
      <c r="M83">
        <f ca="1">IFERROR(__xludf.DUMMYFUNCTION("""COMPUTED_VALUE"""),12)</f>
        <v>12</v>
      </c>
      <c r="N83" s="8" t="str">
        <f ca="1">IFERROR(__xludf.DUMMYFUNCTION("""COMPUTED_VALUE"""),"ПО2")</f>
        <v>ПО2</v>
      </c>
    </row>
    <row r="84" spans="1:14" ht="12.45" hidden="1">
      <c r="A84" t="str">
        <f ca="1">IFERROR(__xludf.DUMMYFUNCTION("""COMPUTED_VALUE"""),"V-3-447")</f>
        <v>V-3-447</v>
      </c>
      <c r="B84" t="str">
        <f ca="1">IFERROR(__xludf.DUMMYFUNCTION("""COMPUTED_VALUE"""),"Рудникова")</f>
        <v>Рудникова</v>
      </c>
      <c r="C84" t="str">
        <f ca="1">IFERROR(__xludf.DUMMYFUNCTION("""COMPUTED_VALUE"""),"Ирина")</f>
        <v>Ирина</v>
      </c>
      <c r="D84" t="str">
        <f ca="1">IFERROR(__xludf.DUMMYFUNCTION("""COMPUTED_VALUE"""),"Лицей 366")</f>
        <v>Лицей 366</v>
      </c>
      <c r="E84" s="5">
        <f ca="1">IFERROR(__xludf.DUMMYFUNCTION("""COMPUTED_VALUE"""),1)</f>
        <v>1</v>
      </c>
      <c r="F84" s="5">
        <f ca="1">IFERROR(__xludf.DUMMYFUNCTION("""COMPUTED_VALUE"""),2)</f>
        <v>2</v>
      </c>
      <c r="G84" s="5">
        <f ca="1">IFERROR(__xludf.DUMMYFUNCTION("""COMPUTED_VALUE"""),3)</f>
        <v>3</v>
      </c>
      <c r="H84" s="5">
        <f ca="1">IFERROR(__xludf.DUMMYFUNCTION("""COMPUTED_VALUE"""),4)</f>
        <v>4</v>
      </c>
      <c r="I84" s="5">
        <f ca="1">IFERROR(__xludf.DUMMYFUNCTION("""COMPUTED_VALUE"""),2)</f>
        <v>2</v>
      </c>
      <c r="J84" s="5">
        <f ca="1">IFERROR(__xludf.DUMMYFUNCTION("""COMPUTED_VALUE"""),0)</f>
        <v>0</v>
      </c>
      <c r="K84" s="5">
        <f ca="1">IFERROR(__xludf.DUMMYFUNCTION("""COMPUTED_VALUE"""),0)</f>
        <v>0</v>
      </c>
      <c r="L84" s="5">
        <f ca="1">IFERROR(__xludf.DUMMYFUNCTION("""COMPUTED_VALUE"""),0)</f>
        <v>0</v>
      </c>
      <c r="M84">
        <f ca="1">IFERROR(__xludf.DUMMYFUNCTION("""COMPUTED_VALUE"""),12)</f>
        <v>12</v>
      </c>
      <c r="N84" s="8" t="str">
        <f ca="1">IFERROR(__xludf.DUMMYFUNCTION("""COMPUTED_VALUE"""),"ПО2")</f>
        <v>ПО2</v>
      </c>
    </row>
    <row r="85" spans="1:14" ht="12.45" hidden="1">
      <c r="A85" t="str">
        <f ca="1">IFERROR(__xludf.DUMMYFUNCTION("""COMPUTED_VALUE"""),"III-3-010")</f>
        <v>III-3-010</v>
      </c>
      <c r="B85" t="str">
        <f ca="1">IFERROR(__xludf.DUMMYFUNCTION("""COMPUTED_VALUE"""),"Алексеева")</f>
        <v>Алексеева</v>
      </c>
      <c r="C85" t="str">
        <f ca="1">IFERROR(__xludf.DUMMYFUNCTION("""COMPUTED_VALUE"""),"Ксения")</f>
        <v>Ксения</v>
      </c>
      <c r="D85" t="str">
        <f ca="1">IFERROR(__xludf.DUMMYFUNCTION("""COMPUTED_VALUE"""),"Гимназия 56")</f>
        <v>Гимназия 56</v>
      </c>
      <c r="E85" s="5">
        <f ca="1">IFERROR(__xludf.DUMMYFUNCTION("""COMPUTED_VALUE"""),3)</f>
        <v>3</v>
      </c>
      <c r="F85" s="5">
        <f ca="1">IFERROR(__xludf.DUMMYFUNCTION("""COMPUTED_VALUE"""),5)</f>
        <v>5</v>
      </c>
      <c r="G85" s="5">
        <f ca="1">IFERROR(__xludf.DUMMYFUNCTION("""COMPUTED_VALUE"""),1)</f>
        <v>1</v>
      </c>
      <c r="H85" s="5">
        <f ca="1">IFERROR(__xludf.DUMMYFUNCTION("""COMPUTED_VALUE"""),0)</f>
        <v>0</v>
      </c>
      <c r="I85" s="5">
        <f ca="1">IFERROR(__xludf.DUMMYFUNCTION("""COMPUTED_VALUE"""),2)</f>
        <v>2</v>
      </c>
      <c r="J85" s="5">
        <f ca="1">IFERROR(__xludf.DUMMYFUNCTION("""COMPUTED_VALUE"""),0)</f>
        <v>0</v>
      </c>
      <c r="K85" s="5">
        <f ca="1">IFERROR(__xludf.DUMMYFUNCTION("""COMPUTED_VALUE"""),0)</f>
        <v>0</v>
      </c>
      <c r="L85" s="5">
        <f ca="1">IFERROR(__xludf.DUMMYFUNCTION("""COMPUTED_VALUE"""),1)</f>
        <v>1</v>
      </c>
      <c r="M85">
        <f ca="1">IFERROR(__xludf.DUMMYFUNCTION("""COMPUTED_VALUE"""),12)</f>
        <v>12</v>
      </c>
      <c r="N85" s="8" t="str">
        <f ca="1">IFERROR(__xludf.DUMMYFUNCTION("""COMPUTED_VALUE"""),"ПО2")</f>
        <v>ПО2</v>
      </c>
    </row>
    <row r="86" spans="1:14" ht="12.45" hidden="1">
      <c r="A86" t="str">
        <f ca="1">IFERROR(__xludf.DUMMYFUNCTION("""COMPUTED_VALUE"""),"III-3-213")</f>
        <v>III-3-213</v>
      </c>
      <c r="B86" t="str">
        <f ca="1">IFERROR(__xludf.DUMMYFUNCTION("""COMPUTED_VALUE"""),"Кладинов")</f>
        <v>Кладинов</v>
      </c>
      <c r="C86" t="str">
        <f ca="1">IFERROR(__xludf.DUMMYFUNCTION("""COMPUTED_VALUE"""),"Макар")</f>
        <v>Макар</v>
      </c>
      <c r="D86" t="str">
        <f ca="1">IFERROR(__xludf.DUMMYFUNCTION("""COMPUTED_VALUE"""),"Гимназия Земля и Вселенная 642")</f>
        <v>Гимназия Земля и Вселенная 642</v>
      </c>
      <c r="E86" s="5">
        <f ca="1">IFERROR(__xludf.DUMMYFUNCTION("""COMPUTED_VALUE"""),0)</f>
        <v>0</v>
      </c>
      <c r="F86" s="5">
        <f ca="1">IFERROR(__xludf.DUMMYFUNCTION("""COMPUTED_VALUE"""),2)</f>
        <v>2</v>
      </c>
      <c r="G86" s="5">
        <f ca="1">IFERROR(__xludf.DUMMYFUNCTION("""COMPUTED_VALUE"""),3)</f>
        <v>3</v>
      </c>
      <c r="H86" s="5">
        <f ca="1">IFERROR(__xludf.DUMMYFUNCTION("""COMPUTED_VALUE"""),2)</f>
        <v>2</v>
      </c>
      <c r="I86" s="5">
        <f ca="1">IFERROR(__xludf.DUMMYFUNCTION("""COMPUTED_VALUE"""),1)</f>
        <v>1</v>
      </c>
      <c r="J86" s="5">
        <f ca="1">IFERROR(__xludf.DUMMYFUNCTION("""COMPUTED_VALUE"""),0)</f>
        <v>0</v>
      </c>
      <c r="K86" s="5">
        <f ca="1">IFERROR(__xludf.DUMMYFUNCTION("""COMPUTED_VALUE"""),2)</f>
        <v>2</v>
      </c>
      <c r="L86" s="5">
        <f ca="1">IFERROR(__xludf.DUMMYFUNCTION("""COMPUTED_VALUE"""),2)</f>
        <v>2</v>
      </c>
      <c r="M86">
        <f ca="1">IFERROR(__xludf.DUMMYFUNCTION("""COMPUTED_VALUE"""),12)</f>
        <v>12</v>
      </c>
      <c r="N86" s="8" t="str">
        <f ca="1">IFERROR(__xludf.DUMMYFUNCTION("""COMPUTED_VALUE"""),"ПО2")</f>
        <v>ПО2</v>
      </c>
    </row>
    <row r="87" spans="1:14" ht="12.45" hidden="1">
      <c r="A87" t="str">
        <f ca="1">IFERROR(__xludf.DUMMYFUNCTION("""COMPUTED_VALUE"""),"V-3-492")</f>
        <v>V-3-492</v>
      </c>
      <c r="B87" t="str">
        <f ca="1">IFERROR(__xludf.DUMMYFUNCTION("""COMPUTED_VALUE"""),"Соколов")</f>
        <v>Соколов</v>
      </c>
      <c r="C87" t="str">
        <f ca="1">IFERROR(__xludf.DUMMYFUNCTION("""COMPUTED_VALUE"""),"Василий")</f>
        <v>Василий</v>
      </c>
      <c r="D87" t="str">
        <f ca="1">IFERROR(__xludf.DUMMYFUNCTION("""COMPUTED_VALUE"""),"Школа 507")</f>
        <v>Школа 507</v>
      </c>
      <c r="E87" s="5">
        <f ca="1">IFERROR(__xludf.DUMMYFUNCTION("""COMPUTED_VALUE"""),0)</f>
        <v>0</v>
      </c>
      <c r="F87" s="5">
        <f ca="1">IFERROR(__xludf.DUMMYFUNCTION("""COMPUTED_VALUE"""),2)</f>
        <v>2</v>
      </c>
      <c r="G87" s="5">
        <f ca="1">IFERROR(__xludf.DUMMYFUNCTION("""COMPUTED_VALUE"""),2)</f>
        <v>2</v>
      </c>
      <c r="H87" s="5">
        <f ca="1">IFERROR(__xludf.DUMMYFUNCTION("""COMPUTED_VALUE"""),0)</f>
        <v>0</v>
      </c>
      <c r="I87" s="5">
        <f ca="1">IFERROR(__xludf.DUMMYFUNCTION("""COMPUTED_VALUE"""),1)</f>
        <v>1</v>
      </c>
      <c r="J87" s="5">
        <f ca="1">IFERROR(__xludf.DUMMYFUNCTION("""COMPUTED_VALUE"""),0)</f>
        <v>0</v>
      </c>
      <c r="K87" s="5">
        <f ca="1">IFERROR(__xludf.DUMMYFUNCTION("""COMPUTED_VALUE"""),3)</f>
        <v>3</v>
      </c>
      <c r="L87" s="5">
        <f ca="1">IFERROR(__xludf.DUMMYFUNCTION("""COMPUTED_VALUE"""),4)</f>
        <v>4</v>
      </c>
      <c r="M87">
        <f ca="1">IFERROR(__xludf.DUMMYFUNCTION("""COMPUTED_VALUE"""),12)</f>
        <v>12</v>
      </c>
      <c r="N87" s="8" t="str">
        <f ca="1">IFERROR(__xludf.DUMMYFUNCTION("""COMPUTED_VALUE"""),"ПО2")</f>
        <v>ПО2</v>
      </c>
    </row>
    <row r="88" spans="1:14" ht="12.45" hidden="1">
      <c r="A88" t="str">
        <f ca="1">IFERROR(__xludf.DUMMYFUNCTION("""COMPUTED_VALUE"""),"V-3-543")</f>
        <v>V-3-543</v>
      </c>
      <c r="B88" t="str">
        <f ca="1">IFERROR(__xludf.DUMMYFUNCTION("""COMPUTED_VALUE"""),"Федотовский")</f>
        <v>Федотовский</v>
      </c>
      <c r="C88" t="str">
        <f ca="1">IFERROR(__xludf.DUMMYFUNCTION("""COMPUTED_VALUE"""),"Лев")</f>
        <v>Лев</v>
      </c>
      <c r="D88" t="str">
        <f ca="1">IFERROR(__xludf.DUMMYFUNCTION("""COMPUTED_VALUE"""),"Лицей 533")</f>
        <v>Лицей 533</v>
      </c>
      <c r="E88" s="5">
        <f ca="1">IFERROR(__xludf.DUMMYFUNCTION("""COMPUTED_VALUE"""),0)</f>
        <v>0</v>
      </c>
      <c r="F88" s="5">
        <f ca="1">IFERROR(__xludf.DUMMYFUNCTION("""COMPUTED_VALUE"""),5)</f>
        <v>5</v>
      </c>
      <c r="G88" s="5">
        <f ca="1">IFERROR(__xludf.DUMMYFUNCTION("""COMPUTED_VALUE"""),2)</f>
        <v>2</v>
      </c>
      <c r="H88" s="5">
        <f ca="1">IFERROR(__xludf.DUMMYFUNCTION("""COMPUTED_VALUE"""),0)</f>
        <v>0</v>
      </c>
      <c r="I88" s="5">
        <f ca="1">IFERROR(__xludf.DUMMYFUNCTION("""COMPUTED_VALUE"""),4)</f>
        <v>4</v>
      </c>
      <c r="J88" s="5">
        <f ca="1">IFERROR(__xludf.DUMMYFUNCTION("""COMPUTED_VALUE"""),1)</f>
        <v>1</v>
      </c>
      <c r="K88" s="5">
        <f ca="1">IFERROR(__xludf.DUMMYFUNCTION("""COMPUTED_VALUE"""),0)</f>
        <v>0</v>
      </c>
      <c r="L88" s="5">
        <f ca="1">IFERROR(__xludf.DUMMYFUNCTION("""COMPUTED_VALUE"""),0)</f>
        <v>0</v>
      </c>
      <c r="M88">
        <f ca="1">IFERROR(__xludf.DUMMYFUNCTION("""COMPUTED_VALUE"""),12)</f>
        <v>12</v>
      </c>
      <c r="N88" s="8" t="str">
        <f ca="1">IFERROR(__xludf.DUMMYFUNCTION("""COMPUTED_VALUE"""),"ПО2")</f>
        <v>ПО2</v>
      </c>
    </row>
    <row r="89" spans="1:14" ht="12.45" hidden="1">
      <c r="A89" t="str">
        <f ca="1">IFERROR(__xludf.DUMMYFUNCTION("""COMPUTED_VALUE"""),"III-3-093")</f>
        <v>III-3-093</v>
      </c>
      <c r="B89" t="str">
        <f ca="1">IFERROR(__xludf.DUMMYFUNCTION("""COMPUTED_VALUE"""),"Гадьян")</f>
        <v>Гадьян</v>
      </c>
      <c r="C89" t="str">
        <f ca="1">IFERROR(__xludf.DUMMYFUNCTION("""COMPUTED_VALUE"""),"Александр")</f>
        <v>Александр</v>
      </c>
      <c r="D89" t="str">
        <f ca="1">IFERROR(__xludf.DUMMYFUNCTION("""COMPUTED_VALUE"""),"Лицей 366")</f>
        <v>Лицей 366</v>
      </c>
      <c r="E89" s="5">
        <f ca="1">IFERROR(__xludf.DUMMYFUNCTION("""COMPUTED_VALUE"""),1)</f>
        <v>1</v>
      </c>
      <c r="F89" s="5">
        <f ca="1">IFERROR(__xludf.DUMMYFUNCTION("""COMPUTED_VALUE"""),2)</f>
        <v>2</v>
      </c>
      <c r="G89" s="5">
        <f ca="1">IFERROR(__xludf.DUMMYFUNCTION("""COMPUTED_VALUE"""),3)</f>
        <v>3</v>
      </c>
      <c r="H89" s="5">
        <f ca="1">IFERROR(__xludf.DUMMYFUNCTION("""COMPUTED_VALUE"""),4)</f>
        <v>4</v>
      </c>
      <c r="I89" s="5">
        <f ca="1">IFERROR(__xludf.DUMMYFUNCTION("""COMPUTED_VALUE"""),0)</f>
        <v>0</v>
      </c>
      <c r="J89" s="5">
        <f ca="1">IFERROR(__xludf.DUMMYFUNCTION("""COMPUTED_VALUE"""),0)</f>
        <v>0</v>
      </c>
      <c r="K89" s="5">
        <f ca="1">IFERROR(__xludf.DUMMYFUNCTION("""COMPUTED_VALUE"""),0)</f>
        <v>0</v>
      </c>
      <c r="L89" s="5">
        <f ca="1">IFERROR(__xludf.DUMMYFUNCTION("""COMPUTED_VALUE"""),2)</f>
        <v>2</v>
      </c>
      <c r="M89">
        <f ca="1">IFERROR(__xludf.DUMMYFUNCTION("""COMPUTED_VALUE"""),12)</f>
        <v>12</v>
      </c>
      <c r="N89" s="8" t="str">
        <f ca="1">IFERROR(__xludf.DUMMYFUNCTION("""COMPUTED_VALUE"""),"ПО2")</f>
        <v>ПО2</v>
      </c>
    </row>
    <row r="90" spans="1:14" ht="12.45" hidden="1">
      <c r="A90" t="str">
        <f ca="1">IFERROR(__xludf.DUMMYFUNCTION("""COMPUTED_VALUE"""),"III-3-162")</f>
        <v>III-3-162</v>
      </c>
      <c r="B90" t="str">
        <f ca="1">IFERROR(__xludf.DUMMYFUNCTION("""COMPUTED_VALUE"""),"Звягинцева")</f>
        <v>Звягинцева</v>
      </c>
      <c r="C90" t="str">
        <f ca="1">IFERROR(__xludf.DUMMYFUNCTION("""COMPUTED_VALUE"""),"Валерия")</f>
        <v>Валерия</v>
      </c>
      <c r="D90" t="str">
        <f ca="1">IFERROR(__xludf.DUMMYFUNCTION("""COMPUTED_VALUE"""),"Школа 300")</f>
        <v>Школа 300</v>
      </c>
      <c r="E90" s="5">
        <f ca="1">IFERROR(__xludf.DUMMYFUNCTION("""COMPUTED_VALUE"""),1)</f>
        <v>1</v>
      </c>
      <c r="F90" s="5">
        <f ca="1">IFERROR(__xludf.DUMMYFUNCTION("""COMPUTED_VALUE"""),5)</f>
        <v>5</v>
      </c>
      <c r="G90" s="5">
        <f ca="1">IFERROR(__xludf.DUMMYFUNCTION("""COMPUTED_VALUE"""),1)</f>
        <v>1</v>
      </c>
      <c r="H90" s="5">
        <f ca="1">IFERROR(__xludf.DUMMYFUNCTION("""COMPUTED_VALUE"""),0)</f>
        <v>0</v>
      </c>
      <c r="I90" s="5">
        <f ca="1">IFERROR(__xludf.DUMMYFUNCTION("""COMPUTED_VALUE"""),0)</f>
        <v>0</v>
      </c>
      <c r="J90" s="5">
        <f ca="1">IFERROR(__xludf.DUMMYFUNCTION("""COMPUTED_VALUE"""),0)</f>
        <v>0</v>
      </c>
      <c r="K90" s="5">
        <f ca="1">IFERROR(__xludf.DUMMYFUNCTION("""COMPUTED_VALUE"""),4)</f>
        <v>4</v>
      </c>
      <c r="L90" s="5">
        <f ca="1">IFERROR(__xludf.DUMMYFUNCTION("""COMPUTED_VALUE"""),1)</f>
        <v>1</v>
      </c>
      <c r="M90">
        <f ca="1">IFERROR(__xludf.DUMMYFUNCTION("""COMPUTED_VALUE"""),12)</f>
        <v>12</v>
      </c>
      <c r="N90" s="8" t="str">
        <f ca="1">IFERROR(__xludf.DUMMYFUNCTION("""COMPUTED_VALUE"""),"ПО2")</f>
        <v>ПО2</v>
      </c>
    </row>
    <row r="91" spans="1:14" ht="12.45" hidden="1">
      <c r="A91" t="str">
        <f ca="1">IFERROR(__xludf.DUMMYFUNCTION("""COMPUTED_VALUE"""),"V-3-478")</f>
        <v>V-3-478</v>
      </c>
      <c r="B91" t="str">
        <f ca="1">IFERROR(__xludf.DUMMYFUNCTION("""COMPUTED_VALUE"""),"Силкина")</f>
        <v>Силкина</v>
      </c>
      <c r="C91" t="str">
        <f ca="1">IFERROR(__xludf.DUMMYFUNCTION("""COMPUTED_VALUE"""),"Анастасия")</f>
        <v>Анастасия</v>
      </c>
      <c r="D91" t="str">
        <f ca="1">IFERROR(__xludf.DUMMYFUNCTION("""COMPUTED_VALUE"""),"Школа Квадривиум")</f>
        <v>Школа Квадривиум</v>
      </c>
      <c r="E91" s="5">
        <f ca="1">IFERROR(__xludf.DUMMYFUNCTION("""COMPUTED_VALUE"""),1)</f>
        <v>1</v>
      </c>
      <c r="F91" s="5">
        <f ca="1">IFERROR(__xludf.DUMMYFUNCTION("""COMPUTED_VALUE"""),0)</f>
        <v>0</v>
      </c>
      <c r="G91" s="5">
        <f ca="1">IFERROR(__xludf.DUMMYFUNCTION("""COMPUTED_VALUE"""),3)</f>
        <v>3</v>
      </c>
      <c r="H91" s="5">
        <f ca="1">IFERROR(__xludf.DUMMYFUNCTION("""COMPUTED_VALUE"""),4)</f>
        <v>4</v>
      </c>
      <c r="I91" s="5">
        <f ca="1">IFERROR(__xludf.DUMMYFUNCTION("""COMPUTED_VALUE"""),0)</f>
        <v>0</v>
      </c>
      <c r="J91" s="5">
        <f ca="1">IFERROR(__xludf.DUMMYFUNCTION("""COMPUTED_VALUE"""),0)</f>
        <v>0</v>
      </c>
      <c r="K91" s="5">
        <f ca="1">IFERROR(__xludf.DUMMYFUNCTION("""COMPUTED_VALUE"""),4)</f>
        <v>4</v>
      </c>
      <c r="L91" s="5">
        <f ca="1">IFERROR(__xludf.DUMMYFUNCTION("""COMPUTED_VALUE"""),0)</f>
        <v>0</v>
      </c>
      <c r="M91">
        <f ca="1">IFERROR(__xludf.DUMMYFUNCTION("""COMPUTED_VALUE"""),12)</f>
        <v>12</v>
      </c>
      <c r="N91" s="8" t="str">
        <f ca="1">IFERROR(__xludf.DUMMYFUNCTION("""COMPUTED_VALUE"""),"ПО2")</f>
        <v>ПО2</v>
      </c>
    </row>
    <row r="92" spans="1:14" ht="12.45" hidden="1">
      <c r="A92" t="str">
        <f ca="1">IFERROR(__xludf.DUMMYFUNCTION("""COMPUTED_VALUE"""),"III-3-128")</f>
        <v>III-3-128</v>
      </c>
      <c r="B92" t="str">
        <f ca="1">IFERROR(__xludf.DUMMYFUNCTION("""COMPUTED_VALUE"""),"Диких")</f>
        <v>Диких</v>
      </c>
      <c r="C92" t="str">
        <f ca="1">IFERROR(__xludf.DUMMYFUNCTION("""COMPUTED_VALUE"""),"Дмитрий")</f>
        <v>Дмитрий</v>
      </c>
      <c r="D92" t="str">
        <f ca="1">IFERROR(__xludf.DUMMYFUNCTION("""COMPUTED_VALUE"""),"Лицей 470")</f>
        <v>Лицей 470</v>
      </c>
      <c r="E92" s="5">
        <f ca="1">IFERROR(__xludf.DUMMYFUNCTION("""COMPUTED_VALUE"""),1)</f>
        <v>1</v>
      </c>
      <c r="F92" s="5">
        <f ca="1">IFERROR(__xludf.DUMMYFUNCTION("""COMPUTED_VALUE"""),1)</f>
        <v>1</v>
      </c>
      <c r="G92" s="5">
        <f ca="1">IFERROR(__xludf.DUMMYFUNCTION("""COMPUTED_VALUE"""),1)</f>
        <v>1</v>
      </c>
      <c r="H92" s="5">
        <f ca="1">IFERROR(__xludf.DUMMYFUNCTION("""COMPUTED_VALUE"""),4)</f>
        <v>4</v>
      </c>
      <c r="I92" s="5">
        <f ca="1">IFERROR(__xludf.DUMMYFUNCTION("""COMPUTED_VALUE"""),0)</f>
        <v>0</v>
      </c>
      <c r="J92" s="5">
        <f ca="1">IFERROR(__xludf.DUMMYFUNCTION("""COMPUTED_VALUE"""),1)</f>
        <v>1</v>
      </c>
      <c r="K92" s="5">
        <f ca="1">IFERROR(__xludf.DUMMYFUNCTION("""COMPUTED_VALUE"""),4)</f>
        <v>4</v>
      </c>
      <c r="L92" s="5">
        <f ca="1">IFERROR(__xludf.DUMMYFUNCTION("""COMPUTED_VALUE"""),0)</f>
        <v>0</v>
      </c>
      <c r="M92">
        <f ca="1">IFERROR(__xludf.DUMMYFUNCTION("""COMPUTED_VALUE"""),12)</f>
        <v>12</v>
      </c>
      <c r="N92" s="8" t="str">
        <f ca="1">IFERROR(__xludf.DUMMYFUNCTION("""COMPUTED_VALUE"""),"ПО2")</f>
        <v>ПО2</v>
      </c>
    </row>
    <row r="93" spans="1:14" ht="12.45" hidden="1">
      <c r="B93" t="str">
        <f ca="1">IFERROR(__xludf.DUMMYFUNCTION("""COMPUTED_VALUE"""),"Буравнев")</f>
        <v>Буравнев</v>
      </c>
      <c r="C93" t="str">
        <f ca="1">IFERROR(__xludf.DUMMYFUNCTION("""COMPUTED_VALUE"""),"Игорь")</f>
        <v>Игорь</v>
      </c>
      <c r="D93" t="str">
        <f ca="1">IFERROR(__xludf.DUMMYFUNCTION("""COMPUTED_VALUE"""),"Школа 557")</f>
        <v>Школа 557</v>
      </c>
      <c r="E93" s="5">
        <f ca="1">IFERROR(__xludf.DUMMYFUNCTION("""COMPUTED_VALUE"""),1)</f>
        <v>1</v>
      </c>
      <c r="F93" s="5">
        <f ca="1">IFERROR(__xludf.DUMMYFUNCTION("""COMPUTED_VALUE"""),1)</f>
        <v>1</v>
      </c>
      <c r="G93" s="5">
        <f ca="1">IFERROR(__xludf.DUMMYFUNCTION("""COMPUTED_VALUE"""),0)</f>
        <v>0</v>
      </c>
      <c r="H93" s="5">
        <f ca="1">IFERROR(__xludf.DUMMYFUNCTION("""COMPUTED_VALUE"""),2)</f>
        <v>2</v>
      </c>
      <c r="I93" s="5">
        <f ca="1">IFERROR(__xludf.DUMMYFUNCTION("""COMPUTED_VALUE"""),5)</f>
        <v>5</v>
      </c>
      <c r="J93" s="5">
        <f ca="1">IFERROR(__xludf.DUMMYFUNCTION("""COMPUTED_VALUE"""),0)</f>
        <v>0</v>
      </c>
      <c r="K93" s="5">
        <f ca="1">IFERROR(__xludf.DUMMYFUNCTION("""COMPUTED_VALUE"""),1)</f>
        <v>1</v>
      </c>
      <c r="L93" s="5">
        <f ca="1">IFERROR(__xludf.DUMMYFUNCTION("""COMPUTED_VALUE"""),1)</f>
        <v>1</v>
      </c>
      <c r="M93">
        <f ca="1">IFERROR(__xludf.DUMMYFUNCTION("""COMPUTED_VALUE"""),11)</f>
        <v>11</v>
      </c>
      <c r="N93" s="8" t="str">
        <f ca="1">IFERROR(__xludf.DUMMYFUNCTION("""COMPUTED_VALUE"""),"ПО2")</f>
        <v>ПО2</v>
      </c>
    </row>
    <row r="94" spans="1:14" ht="12.45" hidden="1">
      <c r="A94" t="str">
        <f ca="1">IFERROR(__xludf.DUMMYFUNCTION("""COMPUTED_VALUE"""),"III-3-246")</f>
        <v>III-3-246</v>
      </c>
      <c r="B94" t="str">
        <f ca="1">IFERROR(__xludf.DUMMYFUNCTION("""COMPUTED_VALUE"""),"Кривель")</f>
        <v>Кривель</v>
      </c>
      <c r="C94" t="str">
        <f ca="1">IFERROR(__xludf.DUMMYFUNCTION("""COMPUTED_VALUE"""),"Артём")</f>
        <v>Артём</v>
      </c>
      <c r="D94" t="str">
        <f ca="1">IFERROR(__xludf.DUMMYFUNCTION("""COMPUTED_VALUE"""),"Лицей 150")</f>
        <v>Лицей 150</v>
      </c>
      <c r="E94" s="5">
        <f ca="1">IFERROR(__xludf.DUMMYFUNCTION("""COMPUTED_VALUE"""),0)</f>
        <v>0</v>
      </c>
      <c r="F94" s="5">
        <f ca="1">IFERROR(__xludf.DUMMYFUNCTION("""COMPUTED_VALUE"""),4)</f>
        <v>4</v>
      </c>
      <c r="G94" s="5">
        <f ca="1">IFERROR(__xludf.DUMMYFUNCTION("""COMPUTED_VALUE"""),1)</f>
        <v>1</v>
      </c>
      <c r="H94" s="5">
        <f ca="1">IFERROR(__xludf.DUMMYFUNCTION("""COMPUTED_VALUE"""),0)</f>
        <v>0</v>
      </c>
      <c r="I94" s="5">
        <f ca="1">IFERROR(__xludf.DUMMYFUNCTION("""COMPUTED_VALUE"""),3)</f>
        <v>3</v>
      </c>
      <c r="J94" s="5">
        <f ca="1">IFERROR(__xludf.DUMMYFUNCTION("""COMPUTED_VALUE"""),0)</f>
        <v>0</v>
      </c>
      <c r="K94" s="5">
        <f ca="1">IFERROR(__xludf.DUMMYFUNCTION("""COMPUTED_VALUE"""),3)</f>
        <v>3</v>
      </c>
      <c r="L94" s="5">
        <f ca="1">IFERROR(__xludf.DUMMYFUNCTION("""COMPUTED_VALUE"""),0)</f>
        <v>0</v>
      </c>
      <c r="M94">
        <f ca="1">IFERROR(__xludf.DUMMYFUNCTION("""COMPUTED_VALUE"""),11)</f>
        <v>11</v>
      </c>
      <c r="N94" s="8" t="str">
        <f ca="1">IFERROR(__xludf.DUMMYFUNCTION("""COMPUTED_VALUE"""),"ПО2")</f>
        <v>ПО2</v>
      </c>
    </row>
    <row r="95" spans="1:14" ht="12.45" hidden="1">
      <c r="A95" t="str">
        <f ca="1">IFERROR(__xludf.DUMMYFUNCTION("""COMPUTED_VALUE"""),"III-3-226")</f>
        <v>III-3-226</v>
      </c>
      <c r="B95" t="str">
        <f ca="1">IFERROR(__xludf.DUMMYFUNCTION("""COMPUTED_VALUE"""),"Колотухина")</f>
        <v>Колотухина</v>
      </c>
      <c r="C95" t="str">
        <f ca="1">IFERROR(__xludf.DUMMYFUNCTION("""COMPUTED_VALUE"""),"Екатерина")</f>
        <v>Екатерина</v>
      </c>
      <c r="D95" t="str">
        <f ca="1">IFERROR(__xludf.DUMMYFUNCTION("""COMPUTED_VALUE"""),"Лицей ФМЛ 366")</f>
        <v>Лицей ФМЛ 366</v>
      </c>
      <c r="E95" s="5">
        <f ca="1">IFERROR(__xludf.DUMMYFUNCTION("""COMPUTED_VALUE"""),0)</f>
        <v>0</v>
      </c>
      <c r="F95" s="5">
        <f ca="1">IFERROR(__xludf.DUMMYFUNCTION("""COMPUTED_VALUE"""),1)</f>
        <v>1</v>
      </c>
      <c r="G95" s="5">
        <f ca="1">IFERROR(__xludf.DUMMYFUNCTION("""COMPUTED_VALUE"""),3)</f>
        <v>3</v>
      </c>
      <c r="H95" s="5">
        <f ca="1">IFERROR(__xludf.DUMMYFUNCTION("""COMPUTED_VALUE"""),0)</f>
        <v>0</v>
      </c>
      <c r="I95" s="5">
        <f ca="1">IFERROR(__xludf.DUMMYFUNCTION("""COMPUTED_VALUE"""),2)</f>
        <v>2</v>
      </c>
      <c r="J95" s="5">
        <f ca="1">IFERROR(__xludf.DUMMYFUNCTION("""COMPUTED_VALUE"""),4)</f>
        <v>4</v>
      </c>
      <c r="K95" s="5">
        <f ca="1">IFERROR(__xludf.DUMMYFUNCTION("""COMPUTED_VALUE"""),1)</f>
        <v>1</v>
      </c>
      <c r="L95" s="5"/>
      <c r="M95">
        <f ca="1">IFERROR(__xludf.DUMMYFUNCTION("""COMPUTED_VALUE"""),11)</f>
        <v>11</v>
      </c>
      <c r="N95" s="8" t="str">
        <f ca="1">IFERROR(__xludf.DUMMYFUNCTION("""COMPUTED_VALUE"""),"ПО2")</f>
        <v>ПО2</v>
      </c>
    </row>
    <row r="96" spans="1:14" ht="12.45" hidden="1">
      <c r="A96" t="str">
        <f ca="1">IFERROR(__xludf.DUMMYFUNCTION("""COMPUTED_VALUE"""),"V-3-501")</f>
        <v>V-3-501</v>
      </c>
      <c r="B96" t="str">
        <f ca="1">IFERROR(__xludf.DUMMYFUNCTION("""COMPUTED_VALUE"""),"Субботина")</f>
        <v>Субботина</v>
      </c>
      <c r="C96" t="str">
        <f ca="1">IFERROR(__xludf.DUMMYFUNCTION("""COMPUTED_VALUE"""),"Ольга")</f>
        <v>Ольга</v>
      </c>
      <c r="D96" t="str">
        <f ca="1">IFERROR(__xludf.DUMMYFUNCTION("""COMPUTED_VALUE"""),"Гимназия 56")</f>
        <v>Гимназия 56</v>
      </c>
      <c r="E96" s="5">
        <f ca="1">IFERROR(__xludf.DUMMYFUNCTION("""COMPUTED_VALUE"""),1)</f>
        <v>1</v>
      </c>
      <c r="F96" s="5">
        <f ca="1">IFERROR(__xludf.DUMMYFUNCTION("""COMPUTED_VALUE"""),1)</f>
        <v>1</v>
      </c>
      <c r="G96" s="5">
        <f ca="1">IFERROR(__xludf.DUMMYFUNCTION("""COMPUTED_VALUE"""),2)</f>
        <v>2</v>
      </c>
      <c r="H96" s="5">
        <f ca="1">IFERROR(__xludf.DUMMYFUNCTION("""COMPUTED_VALUE"""),0)</f>
        <v>0</v>
      </c>
      <c r="I96" s="5">
        <f ca="1">IFERROR(__xludf.DUMMYFUNCTION("""COMPUTED_VALUE"""),2)</f>
        <v>2</v>
      </c>
      <c r="J96" s="5">
        <f ca="1">IFERROR(__xludf.DUMMYFUNCTION("""COMPUTED_VALUE"""),0)</f>
        <v>0</v>
      </c>
      <c r="K96" s="5">
        <f ca="1">IFERROR(__xludf.DUMMYFUNCTION("""COMPUTED_VALUE"""),1)</f>
        <v>1</v>
      </c>
      <c r="L96" s="5">
        <f ca="1">IFERROR(__xludf.DUMMYFUNCTION("""COMPUTED_VALUE"""),4)</f>
        <v>4</v>
      </c>
      <c r="M96">
        <f ca="1">IFERROR(__xludf.DUMMYFUNCTION("""COMPUTED_VALUE"""),11)</f>
        <v>11</v>
      </c>
      <c r="N96" s="8" t="str">
        <f ca="1">IFERROR(__xludf.DUMMYFUNCTION("""COMPUTED_VALUE"""),"ПО2")</f>
        <v>ПО2</v>
      </c>
    </row>
    <row r="97" spans="1:14" ht="12.45" hidden="1">
      <c r="A97" t="str">
        <f ca="1">IFERROR(__xludf.DUMMYFUNCTION("""COMPUTED_VALUE"""),"III-3-020")</f>
        <v>III-3-020</v>
      </c>
      <c r="B97" t="str">
        <f ca="1">IFERROR(__xludf.DUMMYFUNCTION("""COMPUTED_VALUE"""),"Антипов")</f>
        <v>Антипов</v>
      </c>
      <c r="C97" t="str">
        <f ca="1">IFERROR(__xludf.DUMMYFUNCTION("""COMPUTED_VALUE"""),"Даниил")</f>
        <v>Даниил</v>
      </c>
      <c r="D97" t="str">
        <f ca="1">IFERROR(__xludf.DUMMYFUNCTION("""COMPUTED_VALUE"""),"Гимназия 155")</f>
        <v>Гимназия 155</v>
      </c>
      <c r="E97" s="5">
        <f ca="1">IFERROR(__xludf.DUMMYFUNCTION("""COMPUTED_VALUE"""),2)</f>
        <v>2</v>
      </c>
      <c r="F97" s="5">
        <f ca="1">IFERROR(__xludf.DUMMYFUNCTION("""COMPUTED_VALUE"""),2)</f>
        <v>2</v>
      </c>
      <c r="G97" s="5">
        <f ca="1">IFERROR(__xludf.DUMMYFUNCTION("""COMPUTED_VALUE"""),1)</f>
        <v>1</v>
      </c>
      <c r="H97" s="5">
        <f ca="1">IFERROR(__xludf.DUMMYFUNCTION("""COMPUTED_VALUE"""),0)</f>
        <v>0</v>
      </c>
      <c r="I97" s="5">
        <f ca="1">IFERROR(__xludf.DUMMYFUNCTION("""COMPUTED_VALUE"""),0)</f>
        <v>0</v>
      </c>
      <c r="J97" s="5">
        <f ca="1">IFERROR(__xludf.DUMMYFUNCTION("""COMPUTED_VALUE"""),1)</f>
        <v>1</v>
      </c>
      <c r="K97" s="5">
        <f ca="1">IFERROR(__xludf.DUMMYFUNCTION("""COMPUTED_VALUE"""),3)</f>
        <v>3</v>
      </c>
      <c r="L97" s="5">
        <f ca="1">IFERROR(__xludf.DUMMYFUNCTION("""COMPUTED_VALUE"""),2)</f>
        <v>2</v>
      </c>
      <c r="M97">
        <f ca="1">IFERROR(__xludf.DUMMYFUNCTION("""COMPUTED_VALUE"""),11)</f>
        <v>11</v>
      </c>
      <c r="N97" s="8" t="str">
        <f ca="1">IFERROR(__xludf.DUMMYFUNCTION("""COMPUTED_VALUE"""),"ПО2")</f>
        <v>ПО2</v>
      </c>
    </row>
    <row r="98" spans="1:14" ht="12.45" hidden="1">
      <c r="A98" t="str">
        <f ca="1">IFERROR(__xludf.DUMMYFUNCTION("""COMPUTED_VALUE"""),"III-3-082")</f>
        <v>III-3-082</v>
      </c>
      <c r="B98" t="str">
        <f ca="1">IFERROR(__xludf.DUMMYFUNCTION("""COMPUTED_VALUE"""),"Верпаховский")</f>
        <v>Верпаховский</v>
      </c>
      <c r="C98" t="str">
        <f ca="1">IFERROR(__xludf.DUMMYFUNCTION("""COMPUTED_VALUE"""),"Данил")</f>
        <v>Данил</v>
      </c>
      <c r="D98" t="str">
        <f ca="1">IFERROR(__xludf.DUMMYFUNCTION("""COMPUTED_VALUE"""),"Школа Квадривиум")</f>
        <v>Школа Квадривиум</v>
      </c>
      <c r="E98" s="5">
        <f ca="1">IFERROR(__xludf.DUMMYFUNCTION("""COMPUTED_VALUE"""),0)</f>
        <v>0</v>
      </c>
      <c r="F98" s="5">
        <f ca="1">IFERROR(__xludf.DUMMYFUNCTION("""COMPUTED_VALUE"""),0)</f>
        <v>0</v>
      </c>
      <c r="G98" s="5">
        <f ca="1">IFERROR(__xludf.DUMMYFUNCTION("""COMPUTED_VALUE"""),1)</f>
        <v>1</v>
      </c>
      <c r="H98" s="5">
        <f ca="1">IFERROR(__xludf.DUMMYFUNCTION("""COMPUTED_VALUE"""),4)</f>
        <v>4</v>
      </c>
      <c r="I98" s="5">
        <f ca="1">IFERROR(__xludf.DUMMYFUNCTION("""COMPUTED_VALUE"""),2)</f>
        <v>2</v>
      </c>
      <c r="J98" s="5">
        <f ca="1">IFERROR(__xludf.DUMMYFUNCTION("""COMPUTED_VALUE"""),2)</f>
        <v>2</v>
      </c>
      <c r="K98" s="5">
        <f ca="1">IFERROR(__xludf.DUMMYFUNCTION("""COMPUTED_VALUE"""),2)</f>
        <v>2</v>
      </c>
      <c r="L98" s="5">
        <f ca="1">IFERROR(__xludf.DUMMYFUNCTION("""COMPUTED_VALUE"""),0)</f>
        <v>0</v>
      </c>
      <c r="M98">
        <f ca="1">IFERROR(__xludf.DUMMYFUNCTION("""COMPUTED_VALUE"""),11)</f>
        <v>11</v>
      </c>
      <c r="N98" s="8" t="str">
        <f ca="1">IFERROR(__xludf.DUMMYFUNCTION("""COMPUTED_VALUE"""),"ПО2")</f>
        <v>ПО2</v>
      </c>
    </row>
    <row r="99" spans="1:14" ht="12.45" hidden="1">
      <c r="A99" t="str">
        <f ca="1">IFERROR(__xludf.DUMMYFUNCTION("""COMPUTED_VALUE"""),"III-3-269")</f>
        <v>III-3-269</v>
      </c>
      <c r="B99" t="str">
        <f ca="1">IFERROR(__xludf.DUMMYFUNCTION("""COMPUTED_VALUE"""),"Курышев")</f>
        <v>Курышев</v>
      </c>
      <c r="C99" t="str">
        <f ca="1">IFERROR(__xludf.DUMMYFUNCTION("""COMPUTED_VALUE"""),"Павел")</f>
        <v>Павел</v>
      </c>
      <c r="D99" t="str">
        <f ca="1">IFERROR(__xludf.DUMMYFUNCTION("""COMPUTED_VALUE"""),"Лицей 64")</f>
        <v>Лицей 64</v>
      </c>
      <c r="E99" s="5">
        <f ca="1">IFERROR(__xludf.DUMMYFUNCTION("""COMPUTED_VALUE"""),1)</f>
        <v>1</v>
      </c>
      <c r="F99" s="5">
        <f ca="1">IFERROR(__xludf.DUMMYFUNCTION("""COMPUTED_VALUE"""),5)</f>
        <v>5</v>
      </c>
      <c r="G99" s="5">
        <f ca="1">IFERROR(__xludf.DUMMYFUNCTION("""COMPUTED_VALUE"""),1)</f>
        <v>1</v>
      </c>
      <c r="H99" s="5">
        <f ca="1">IFERROR(__xludf.DUMMYFUNCTION("""COMPUTED_VALUE"""),2)</f>
        <v>2</v>
      </c>
      <c r="I99" s="5">
        <f ca="1">IFERROR(__xludf.DUMMYFUNCTION("""COMPUTED_VALUE"""),2)</f>
        <v>2</v>
      </c>
      <c r="J99" s="5">
        <f ca="1">IFERROR(__xludf.DUMMYFUNCTION("""COMPUTED_VALUE"""),0)</f>
        <v>0</v>
      </c>
      <c r="K99" s="5">
        <f ca="1">IFERROR(__xludf.DUMMYFUNCTION("""COMPUTED_VALUE"""),0)</f>
        <v>0</v>
      </c>
      <c r="L99" s="5">
        <f ca="1">IFERROR(__xludf.DUMMYFUNCTION("""COMPUTED_VALUE"""),0)</f>
        <v>0</v>
      </c>
      <c r="M99">
        <f ca="1">IFERROR(__xludf.DUMMYFUNCTION("""COMPUTED_VALUE"""),11)</f>
        <v>11</v>
      </c>
      <c r="N99" s="8" t="str">
        <f ca="1">IFERROR(__xludf.DUMMYFUNCTION("""COMPUTED_VALUE"""),"ПО2")</f>
        <v>ПО2</v>
      </c>
    </row>
    <row r="100" spans="1:14" ht="12.45" hidden="1">
      <c r="A100" t="str">
        <f ca="1">IFERROR(__xludf.DUMMYFUNCTION("""COMPUTED_VALUE"""),"V-3-313")</f>
        <v>V-3-313</v>
      </c>
      <c r="B100" t="str">
        <f ca="1">IFERROR(__xludf.DUMMYFUNCTION("""COMPUTED_VALUE"""),"Малкина")</f>
        <v>Малкина</v>
      </c>
      <c r="C100" t="str">
        <f ca="1">IFERROR(__xludf.DUMMYFUNCTION("""COMPUTED_VALUE"""),"Варвара")</f>
        <v>Варвара</v>
      </c>
      <c r="D100" t="str">
        <f ca="1">IFERROR(__xludf.DUMMYFUNCTION("""COMPUTED_VALUE"""),"Лицей 101")</f>
        <v>Лицей 101</v>
      </c>
      <c r="E100" s="5">
        <f ca="1">IFERROR(__xludf.DUMMYFUNCTION("""COMPUTED_VALUE"""),1)</f>
        <v>1</v>
      </c>
      <c r="F100" s="5">
        <f ca="1">IFERROR(__xludf.DUMMYFUNCTION("""COMPUTED_VALUE"""),4)</f>
        <v>4</v>
      </c>
      <c r="G100" s="5">
        <f ca="1">IFERROR(__xludf.DUMMYFUNCTION("""COMPUTED_VALUE"""),2)</f>
        <v>2</v>
      </c>
      <c r="H100" s="5">
        <f ca="1">IFERROR(__xludf.DUMMYFUNCTION("""COMPUTED_VALUE"""),0)</f>
        <v>0</v>
      </c>
      <c r="I100" s="5">
        <f ca="1">IFERROR(__xludf.DUMMYFUNCTION("""COMPUTED_VALUE"""),0)</f>
        <v>0</v>
      </c>
      <c r="J100" s="5">
        <f ca="1">IFERROR(__xludf.DUMMYFUNCTION("""COMPUTED_VALUE"""),1)</f>
        <v>1</v>
      </c>
      <c r="K100" s="5">
        <f ca="1">IFERROR(__xludf.DUMMYFUNCTION("""COMPUTED_VALUE"""),2)</f>
        <v>2</v>
      </c>
      <c r="L100" s="5">
        <f ca="1">IFERROR(__xludf.DUMMYFUNCTION("""COMPUTED_VALUE"""),1)</f>
        <v>1</v>
      </c>
      <c r="M100">
        <f ca="1">IFERROR(__xludf.DUMMYFUNCTION("""COMPUTED_VALUE"""),11)</f>
        <v>11</v>
      </c>
      <c r="N100" s="8" t="str">
        <f ca="1">IFERROR(__xludf.DUMMYFUNCTION("""COMPUTED_VALUE"""),"ПО2")</f>
        <v>ПО2</v>
      </c>
    </row>
    <row r="101" spans="1:14" ht="12.45" hidden="1">
      <c r="A101" t="str">
        <f ca="1">IFERROR(__xludf.DUMMYFUNCTION("""COMPUTED_VALUE"""),"III-3-171")</f>
        <v>III-3-171</v>
      </c>
      <c r="B101" t="str">
        <f ca="1">IFERROR(__xludf.DUMMYFUNCTION("""COMPUTED_VALUE"""),"Иванов")</f>
        <v>Иванов</v>
      </c>
      <c r="C101" t="str">
        <f ca="1">IFERROR(__xludf.DUMMYFUNCTION("""COMPUTED_VALUE"""),"Ростислав")</f>
        <v>Ростислав</v>
      </c>
      <c r="D101" t="str">
        <f ca="1">IFERROR(__xludf.DUMMYFUNCTION("""COMPUTED_VALUE"""),"Школа 315")</f>
        <v>Школа 315</v>
      </c>
      <c r="E101" s="5">
        <f ca="1">IFERROR(__xludf.DUMMYFUNCTION("""COMPUTED_VALUE"""),1)</f>
        <v>1</v>
      </c>
      <c r="F101" s="5">
        <f ca="1">IFERROR(__xludf.DUMMYFUNCTION("""COMPUTED_VALUE"""),1)</f>
        <v>1</v>
      </c>
      <c r="G101" s="5">
        <f ca="1">IFERROR(__xludf.DUMMYFUNCTION("""COMPUTED_VALUE"""),3)</f>
        <v>3</v>
      </c>
      <c r="H101" s="5">
        <f ca="1">IFERROR(__xludf.DUMMYFUNCTION("""COMPUTED_VALUE"""),0)</f>
        <v>0</v>
      </c>
      <c r="I101" s="5">
        <f ca="1">IFERROR(__xludf.DUMMYFUNCTION("""COMPUTED_VALUE"""),0)</f>
        <v>0</v>
      </c>
      <c r="J101" s="5">
        <f ca="1">IFERROR(__xludf.DUMMYFUNCTION("""COMPUTED_VALUE"""),2)</f>
        <v>2</v>
      </c>
      <c r="K101" s="5">
        <f ca="1">IFERROR(__xludf.DUMMYFUNCTION("""COMPUTED_VALUE"""),2)</f>
        <v>2</v>
      </c>
      <c r="L101" s="5">
        <f ca="1">IFERROR(__xludf.DUMMYFUNCTION("""COMPUTED_VALUE"""),2)</f>
        <v>2</v>
      </c>
      <c r="M101">
        <f ca="1">IFERROR(__xludf.DUMMYFUNCTION("""COMPUTED_VALUE"""),11)</f>
        <v>11</v>
      </c>
      <c r="N101" s="8" t="str">
        <f ca="1">IFERROR(__xludf.DUMMYFUNCTION("""COMPUTED_VALUE"""),"ПО2")</f>
        <v>ПО2</v>
      </c>
    </row>
    <row r="102" spans="1:14" ht="12.45" hidden="1">
      <c r="A102" t="str">
        <f ca="1">IFERROR(__xludf.DUMMYFUNCTION("""COMPUTED_VALUE"""),"III-3-154")</f>
        <v>III-3-154</v>
      </c>
      <c r="B102" t="str">
        <f ca="1">IFERROR(__xludf.DUMMYFUNCTION("""COMPUTED_VALUE"""),"Жукова")</f>
        <v>Жукова</v>
      </c>
      <c r="C102" t="str">
        <f ca="1">IFERROR(__xludf.DUMMYFUNCTION("""COMPUTED_VALUE"""),"Анна")</f>
        <v>Анна</v>
      </c>
      <c r="D102" t="str">
        <f ca="1">IFERROR(__xludf.DUMMYFUNCTION("""COMPUTED_VALUE"""),"Лицей 144")</f>
        <v>Лицей 144</v>
      </c>
      <c r="E102" s="5">
        <f ca="1">IFERROR(__xludf.DUMMYFUNCTION("""COMPUTED_VALUE"""),0)</f>
        <v>0</v>
      </c>
      <c r="F102" s="5">
        <f ca="1">IFERROR(__xludf.DUMMYFUNCTION("""COMPUTED_VALUE"""),2)</f>
        <v>2</v>
      </c>
      <c r="G102" s="5">
        <f ca="1">IFERROR(__xludf.DUMMYFUNCTION("""COMPUTED_VALUE"""),2)</f>
        <v>2</v>
      </c>
      <c r="H102" s="5">
        <f ca="1">IFERROR(__xludf.DUMMYFUNCTION("""COMPUTED_VALUE"""),0)</f>
        <v>0</v>
      </c>
      <c r="I102" s="5">
        <f ca="1">IFERROR(__xludf.DUMMYFUNCTION("""COMPUTED_VALUE"""),3)</f>
        <v>3</v>
      </c>
      <c r="J102" s="5">
        <f ca="1">IFERROR(__xludf.DUMMYFUNCTION("""COMPUTED_VALUE"""),1)</f>
        <v>1</v>
      </c>
      <c r="K102" s="5">
        <f ca="1">IFERROR(__xludf.DUMMYFUNCTION("""COMPUTED_VALUE"""),2)</f>
        <v>2</v>
      </c>
      <c r="L102" s="5">
        <f ca="1">IFERROR(__xludf.DUMMYFUNCTION("""COMPUTED_VALUE"""),0)</f>
        <v>0</v>
      </c>
      <c r="M102">
        <f ca="1">IFERROR(__xludf.DUMMYFUNCTION("""COMPUTED_VALUE"""),10)</f>
        <v>10</v>
      </c>
      <c r="N102" s="8" t="str">
        <f ca="1">IFERROR(__xludf.DUMMYFUNCTION("""COMPUTED_VALUE"""),"ПО2")</f>
        <v>ПО2</v>
      </c>
    </row>
    <row r="103" spans="1:14" ht="12.45" hidden="1">
      <c r="A103" t="str">
        <f ca="1">IFERROR(__xludf.DUMMYFUNCTION("""COMPUTED_VALUE"""),"V-3-311")</f>
        <v>V-3-311</v>
      </c>
      <c r="B103" t="str">
        <f ca="1">IFERROR(__xludf.DUMMYFUNCTION("""COMPUTED_VALUE"""),"Макерова")</f>
        <v>Макерова</v>
      </c>
      <c r="C103" t="str">
        <f ca="1">IFERROR(__xludf.DUMMYFUNCTION("""COMPUTED_VALUE"""),"Виктория")</f>
        <v>Виктория</v>
      </c>
      <c r="D103" t="str">
        <f ca="1">IFERROR(__xludf.DUMMYFUNCTION("""COMPUTED_VALUE"""),"Лицей 344")</f>
        <v>Лицей 344</v>
      </c>
      <c r="E103" s="5">
        <f ca="1">IFERROR(__xludf.DUMMYFUNCTION("""COMPUTED_VALUE"""),1)</f>
        <v>1</v>
      </c>
      <c r="F103" s="5">
        <f ca="1">IFERROR(__xludf.DUMMYFUNCTION("""COMPUTED_VALUE"""),1)</f>
        <v>1</v>
      </c>
      <c r="G103" s="5">
        <f ca="1">IFERROR(__xludf.DUMMYFUNCTION("""COMPUTED_VALUE"""),2)</f>
        <v>2</v>
      </c>
      <c r="H103" s="5">
        <f ca="1">IFERROR(__xludf.DUMMYFUNCTION("""COMPUTED_VALUE"""),0)</f>
        <v>0</v>
      </c>
      <c r="I103" s="5">
        <f ca="1">IFERROR(__xludf.DUMMYFUNCTION("""COMPUTED_VALUE"""),3)</f>
        <v>3</v>
      </c>
      <c r="J103" s="5">
        <f ca="1">IFERROR(__xludf.DUMMYFUNCTION("""COMPUTED_VALUE"""),2)</f>
        <v>2</v>
      </c>
      <c r="K103" s="5">
        <f ca="1">IFERROR(__xludf.DUMMYFUNCTION("""COMPUTED_VALUE"""),1)</f>
        <v>1</v>
      </c>
      <c r="L103" s="5">
        <f ca="1">IFERROR(__xludf.DUMMYFUNCTION("""COMPUTED_VALUE"""),0)</f>
        <v>0</v>
      </c>
      <c r="M103">
        <f ca="1">IFERROR(__xludf.DUMMYFUNCTION("""COMPUTED_VALUE"""),10)</f>
        <v>10</v>
      </c>
      <c r="N103" s="8" t="str">
        <f ca="1">IFERROR(__xludf.DUMMYFUNCTION("""COMPUTED_VALUE"""),"ПО2")</f>
        <v>ПО2</v>
      </c>
    </row>
    <row r="104" spans="1:14" ht="12.45" hidden="1">
      <c r="A104" t="str">
        <f ca="1">IFERROR(__xludf.DUMMYFUNCTION("""COMPUTED_VALUE"""),"V-3-323")</f>
        <v>V-3-323</v>
      </c>
      <c r="B104" t="str">
        <f ca="1">IFERROR(__xludf.DUMMYFUNCTION("""COMPUTED_VALUE"""),"Медведев")</f>
        <v>Медведев</v>
      </c>
      <c r="C104" t="str">
        <f ca="1">IFERROR(__xludf.DUMMYFUNCTION("""COMPUTED_VALUE"""),"Владимир")</f>
        <v>Владимир</v>
      </c>
      <c r="D104" t="str">
        <f ca="1">IFERROR(__xludf.DUMMYFUNCTION("""COMPUTED_VALUE"""),"Гимназия 74")</f>
        <v>Гимназия 74</v>
      </c>
      <c r="E104" s="5">
        <f ca="1">IFERROR(__xludf.DUMMYFUNCTION("""COMPUTED_VALUE"""),0)</f>
        <v>0</v>
      </c>
      <c r="F104" s="5">
        <f ca="1">IFERROR(__xludf.DUMMYFUNCTION("""COMPUTED_VALUE"""),1)</f>
        <v>1</v>
      </c>
      <c r="G104" s="5">
        <f ca="1">IFERROR(__xludf.DUMMYFUNCTION("""COMPUTED_VALUE"""),3)</f>
        <v>3</v>
      </c>
      <c r="H104" s="5">
        <f ca="1">IFERROR(__xludf.DUMMYFUNCTION("""COMPUTED_VALUE"""),0)</f>
        <v>0</v>
      </c>
      <c r="I104" s="5">
        <f ca="1">IFERROR(__xludf.DUMMYFUNCTION("""COMPUTED_VALUE"""),3)</f>
        <v>3</v>
      </c>
      <c r="J104" s="5">
        <f ca="1">IFERROR(__xludf.DUMMYFUNCTION("""COMPUTED_VALUE"""),1)</f>
        <v>1</v>
      </c>
      <c r="K104" s="5">
        <f ca="1">IFERROR(__xludf.DUMMYFUNCTION("""COMPUTED_VALUE"""),2)</f>
        <v>2</v>
      </c>
      <c r="L104" s="5">
        <f ca="1">IFERROR(__xludf.DUMMYFUNCTION("""COMPUTED_VALUE"""),0)</f>
        <v>0</v>
      </c>
      <c r="M104">
        <f ca="1">IFERROR(__xludf.DUMMYFUNCTION("""COMPUTED_VALUE"""),10)</f>
        <v>10</v>
      </c>
      <c r="N104" s="8" t="str">
        <f ca="1">IFERROR(__xludf.DUMMYFUNCTION("""COMPUTED_VALUE"""),"ПО2")</f>
        <v>ПО2</v>
      </c>
    </row>
    <row r="105" spans="1:14" ht="12.45" hidden="1">
      <c r="A105" t="str">
        <f ca="1">IFERROR(__xludf.DUMMYFUNCTION("""COMPUTED_VALUE"""),"III-3-260")</f>
        <v>III-3-260</v>
      </c>
      <c r="B105" t="str">
        <f ca="1">IFERROR(__xludf.DUMMYFUNCTION("""COMPUTED_VALUE"""),"Кузьмичева")</f>
        <v>Кузьмичева</v>
      </c>
      <c r="C105" t="str">
        <f ca="1">IFERROR(__xludf.DUMMYFUNCTION("""COMPUTED_VALUE"""),"Арина")</f>
        <v>Арина</v>
      </c>
      <c r="D105" t="str">
        <f ca="1">IFERROR(__xludf.DUMMYFUNCTION("""COMPUTED_VALUE"""),"Школа 119")</f>
        <v>Школа 119</v>
      </c>
      <c r="E105" s="5">
        <f ca="1">IFERROR(__xludf.DUMMYFUNCTION("""COMPUTED_VALUE"""),1)</f>
        <v>1</v>
      </c>
      <c r="F105" s="5">
        <f ca="1">IFERROR(__xludf.DUMMYFUNCTION("""COMPUTED_VALUE"""),2)</f>
        <v>2</v>
      </c>
      <c r="G105" s="5">
        <f ca="1">IFERROR(__xludf.DUMMYFUNCTION("""COMPUTED_VALUE"""),1)</f>
        <v>1</v>
      </c>
      <c r="H105" s="5">
        <f ca="1">IFERROR(__xludf.DUMMYFUNCTION("""COMPUTED_VALUE"""),0)</f>
        <v>0</v>
      </c>
      <c r="I105" s="5">
        <f ca="1">IFERROR(__xludf.DUMMYFUNCTION("""COMPUTED_VALUE"""),3)</f>
        <v>3</v>
      </c>
      <c r="J105" s="5">
        <f ca="1">IFERROR(__xludf.DUMMYFUNCTION("""COMPUTED_VALUE"""),1)</f>
        <v>1</v>
      </c>
      <c r="K105" s="5">
        <f ca="1">IFERROR(__xludf.DUMMYFUNCTION("""COMPUTED_VALUE"""),1)</f>
        <v>1</v>
      </c>
      <c r="L105" s="5">
        <f ca="1">IFERROR(__xludf.DUMMYFUNCTION("""COMPUTED_VALUE"""),1)</f>
        <v>1</v>
      </c>
      <c r="M105">
        <f ca="1">IFERROR(__xludf.DUMMYFUNCTION("""COMPUTED_VALUE"""),10)</f>
        <v>10</v>
      </c>
      <c r="N105" s="8" t="str">
        <f ca="1">IFERROR(__xludf.DUMMYFUNCTION("""COMPUTED_VALUE"""),"ПО2")</f>
        <v>ПО2</v>
      </c>
    </row>
    <row r="106" spans="1:14" ht="12.45" hidden="1">
      <c r="A106" t="str">
        <f ca="1">IFERROR(__xludf.DUMMYFUNCTION("""COMPUTED_VALUE"""),"V-3-564")</f>
        <v>V-3-564</v>
      </c>
      <c r="B106" t="str">
        <f ca="1">IFERROR(__xludf.DUMMYFUNCTION("""COMPUTED_VALUE"""),"Частоедов")</f>
        <v>Частоедов</v>
      </c>
      <c r="C106" t="str">
        <f ca="1">IFERROR(__xludf.DUMMYFUNCTION("""COMPUTED_VALUE"""),"Иван")</f>
        <v>Иван</v>
      </c>
      <c r="D106" t="str">
        <f ca="1">IFERROR(__xludf.DUMMYFUNCTION("""COMPUTED_VALUE"""),"Лицей 369")</f>
        <v>Лицей 369</v>
      </c>
      <c r="E106" s="5">
        <f ca="1">IFERROR(__xludf.DUMMYFUNCTION("""COMPUTED_VALUE"""),0)</f>
        <v>0</v>
      </c>
      <c r="F106" s="5">
        <f ca="1">IFERROR(__xludf.DUMMYFUNCTION("""COMPUTED_VALUE"""),0)</f>
        <v>0</v>
      </c>
      <c r="G106" s="5">
        <f ca="1">IFERROR(__xludf.DUMMYFUNCTION("""COMPUTED_VALUE"""),3)</f>
        <v>3</v>
      </c>
      <c r="H106" s="5">
        <f ca="1">IFERROR(__xludf.DUMMYFUNCTION("""COMPUTED_VALUE"""),0)</f>
        <v>0</v>
      </c>
      <c r="I106" s="5">
        <f ca="1">IFERROR(__xludf.DUMMYFUNCTION("""COMPUTED_VALUE"""),3)</f>
        <v>3</v>
      </c>
      <c r="J106" s="5">
        <f ca="1">IFERROR(__xludf.DUMMYFUNCTION("""COMPUTED_VALUE"""),0)</f>
        <v>0</v>
      </c>
      <c r="K106" s="5">
        <f ca="1">IFERROR(__xludf.DUMMYFUNCTION("""COMPUTED_VALUE"""),4)</f>
        <v>4</v>
      </c>
      <c r="L106" s="5">
        <f ca="1">IFERROR(__xludf.DUMMYFUNCTION("""COMPUTED_VALUE"""),0)</f>
        <v>0</v>
      </c>
      <c r="M106">
        <f ca="1">IFERROR(__xludf.DUMMYFUNCTION("""COMPUTED_VALUE"""),10)</f>
        <v>10</v>
      </c>
      <c r="N106" s="8" t="str">
        <f ca="1">IFERROR(__xludf.DUMMYFUNCTION("""COMPUTED_VALUE"""),"ПО2")</f>
        <v>ПО2</v>
      </c>
    </row>
    <row r="107" spans="1:14" ht="12.45" hidden="1">
      <c r="A107" t="str">
        <f ca="1">IFERROR(__xludf.DUMMYFUNCTION("""COMPUTED_VALUE"""),"III-3-124")</f>
        <v>III-3-124</v>
      </c>
      <c r="B107" t="str">
        <f ca="1">IFERROR(__xludf.DUMMYFUNCTION("""COMPUTED_VALUE"""),"Данилов")</f>
        <v>Данилов</v>
      </c>
      <c r="C107" t="str">
        <f ca="1">IFERROR(__xludf.DUMMYFUNCTION("""COMPUTED_VALUE"""),"Егор")</f>
        <v>Егор</v>
      </c>
      <c r="D107" t="str">
        <f ca="1">IFERROR(__xludf.DUMMYFUNCTION("""COMPUTED_VALUE"""),"Гимназия 63")</f>
        <v>Гимназия 63</v>
      </c>
      <c r="E107" s="5">
        <f ca="1">IFERROR(__xludf.DUMMYFUNCTION("""COMPUTED_VALUE"""),0)</f>
        <v>0</v>
      </c>
      <c r="F107" s="5">
        <f ca="1">IFERROR(__xludf.DUMMYFUNCTION("""COMPUTED_VALUE"""),0)</f>
        <v>0</v>
      </c>
      <c r="G107" s="5">
        <f ca="1">IFERROR(__xludf.DUMMYFUNCTION("""COMPUTED_VALUE"""),1)</f>
        <v>1</v>
      </c>
      <c r="H107" s="5">
        <f ca="1">IFERROR(__xludf.DUMMYFUNCTION("""COMPUTED_VALUE"""),4)</f>
        <v>4</v>
      </c>
      <c r="I107" s="5">
        <f ca="1">IFERROR(__xludf.DUMMYFUNCTION("""COMPUTED_VALUE"""),3)</f>
        <v>3</v>
      </c>
      <c r="J107" s="5">
        <f ca="1">IFERROR(__xludf.DUMMYFUNCTION("""COMPUTED_VALUE"""),0)</f>
        <v>0</v>
      </c>
      <c r="K107" s="5">
        <f ca="1">IFERROR(__xludf.DUMMYFUNCTION("""COMPUTED_VALUE"""),1)</f>
        <v>1</v>
      </c>
      <c r="L107" s="5">
        <f ca="1">IFERROR(__xludf.DUMMYFUNCTION("""COMPUTED_VALUE"""),1)</f>
        <v>1</v>
      </c>
      <c r="M107">
        <f ca="1">IFERROR(__xludf.DUMMYFUNCTION("""COMPUTED_VALUE"""),10)</f>
        <v>10</v>
      </c>
      <c r="N107" s="8" t="str">
        <f ca="1">IFERROR(__xludf.DUMMYFUNCTION("""COMPUTED_VALUE"""),"ПО2")</f>
        <v>ПО2</v>
      </c>
    </row>
    <row r="108" spans="1:14" ht="12.45" hidden="1">
      <c r="A108" t="str">
        <f ca="1">IFERROR(__xludf.DUMMYFUNCTION("""COMPUTED_VALUE"""),"V-3-398")</f>
        <v>V-3-398</v>
      </c>
      <c r="B108" t="str">
        <f ca="1">IFERROR(__xludf.DUMMYFUNCTION("""COMPUTED_VALUE"""),"Панина")</f>
        <v>Панина</v>
      </c>
      <c r="C108" t="str">
        <f ca="1">IFERROR(__xludf.DUMMYFUNCTION("""COMPUTED_VALUE"""),"Екатерина")</f>
        <v>Екатерина</v>
      </c>
      <c r="D108" t="str">
        <f ca="1">IFERROR(__xludf.DUMMYFUNCTION("""COMPUTED_VALUE"""),"Гимназия 642")</f>
        <v>Гимназия 642</v>
      </c>
      <c r="E108" s="5">
        <f ca="1">IFERROR(__xludf.DUMMYFUNCTION("""COMPUTED_VALUE"""),1)</f>
        <v>1</v>
      </c>
      <c r="F108" s="5">
        <f ca="1">IFERROR(__xludf.DUMMYFUNCTION("""COMPUTED_VALUE"""),5)</f>
        <v>5</v>
      </c>
      <c r="G108" s="5">
        <f ca="1">IFERROR(__xludf.DUMMYFUNCTION("""COMPUTED_VALUE"""),1)</f>
        <v>1</v>
      </c>
      <c r="H108" s="5">
        <f ca="1">IFERROR(__xludf.DUMMYFUNCTION("""COMPUTED_VALUE"""),0)</f>
        <v>0</v>
      </c>
      <c r="I108" s="5">
        <f ca="1">IFERROR(__xludf.DUMMYFUNCTION("""COMPUTED_VALUE"""),2)</f>
        <v>2</v>
      </c>
      <c r="J108" s="5">
        <f ca="1">IFERROR(__xludf.DUMMYFUNCTION("""COMPUTED_VALUE"""),0)</f>
        <v>0</v>
      </c>
      <c r="K108" s="5">
        <f ca="1">IFERROR(__xludf.DUMMYFUNCTION("""COMPUTED_VALUE"""),1)</f>
        <v>1</v>
      </c>
      <c r="L108" s="5">
        <f ca="1">IFERROR(__xludf.DUMMYFUNCTION("""COMPUTED_VALUE"""),0)</f>
        <v>0</v>
      </c>
      <c r="M108">
        <f ca="1">IFERROR(__xludf.DUMMYFUNCTION("""COMPUTED_VALUE"""),10)</f>
        <v>10</v>
      </c>
      <c r="N108" s="8" t="str">
        <f ca="1">IFERROR(__xludf.DUMMYFUNCTION("""COMPUTED_VALUE"""),"ПО2")</f>
        <v>ПО2</v>
      </c>
    </row>
    <row r="109" spans="1:14" ht="12.45" hidden="1">
      <c r="A109" t="str">
        <f ca="1">IFERROR(__xludf.DUMMYFUNCTION("""COMPUTED_VALUE"""),"V-3-537")</f>
        <v>V-3-537</v>
      </c>
      <c r="B109" t="str">
        <f ca="1">IFERROR(__xludf.DUMMYFUNCTION("""COMPUTED_VALUE"""),"Устиненко")</f>
        <v>Устиненко</v>
      </c>
      <c r="C109" t="str">
        <f ca="1">IFERROR(__xludf.DUMMYFUNCTION("""COMPUTED_VALUE"""),"Егор")</f>
        <v>Егор</v>
      </c>
      <c r="D109" t="str">
        <f ca="1">IFERROR(__xludf.DUMMYFUNCTION("""COMPUTED_VALUE"""),"Школа 593")</f>
        <v>Школа 593</v>
      </c>
      <c r="E109" s="5">
        <f ca="1">IFERROR(__xludf.DUMMYFUNCTION("""COMPUTED_VALUE"""),1)</f>
        <v>1</v>
      </c>
      <c r="F109" s="5">
        <f ca="1">IFERROR(__xludf.DUMMYFUNCTION("""COMPUTED_VALUE"""),1)</f>
        <v>1</v>
      </c>
      <c r="G109" s="5">
        <f ca="1">IFERROR(__xludf.DUMMYFUNCTION("""COMPUTED_VALUE"""),1)</f>
        <v>1</v>
      </c>
      <c r="H109" s="5">
        <f ca="1">IFERROR(__xludf.DUMMYFUNCTION("""COMPUTED_VALUE"""),2)</f>
        <v>2</v>
      </c>
      <c r="I109" s="5">
        <f ca="1">IFERROR(__xludf.DUMMYFUNCTION("""COMPUTED_VALUE"""),2)</f>
        <v>2</v>
      </c>
      <c r="J109" s="5">
        <f ca="1">IFERROR(__xludf.DUMMYFUNCTION("""COMPUTED_VALUE"""),0)</f>
        <v>0</v>
      </c>
      <c r="K109" s="5">
        <f ca="1">IFERROR(__xludf.DUMMYFUNCTION("""COMPUTED_VALUE"""),2)</f>
        <v>2</v>
      </c>
      <c r="L109" s="5">
        <f ca="1">IFERROR(__xludf.DUMMYFUNCTION("""COMPUTED_VALUE"""),1)</f>
        <v>1</v>
      </c>
      <c r="M109">
        <f ca="1">IFERROR(__xludf.DUMMYFUNCTION("""COMPUTED_VALUE"""),10)</f>
        <v>10</v>
      </c>
      <c r="N109" s="8" t="str">
        <f ca="1">IFERROR(__xludf.DUMMYFUNCTION("""COMPUTED_VALUE"""),"ПО2")</f>
        <v>ПО2</v>
      </c>
    </row>
    <row r="110" spans="1:14" ht="12.45" hidden="1">
      <c r="A110" t="str">
        <f ca="1">IFERROR(__xludf.DUMMYFUNCTION("""COMPUTED_VALUE"""),"III-3-286")</f>
        <v>III-3-286</v>
      </c>
      <c r="B110" t="str">
        <f ca="1">IFERROR(__xludf.DUMMYFUNCTION("""COMPUTED_VALUE"""),"Левин")</f>
        <v>Левин</v>
      </c>
      <c r="C110" t="str">
        <f ca="1">IFERROR(__xludf.DUMMYFUNCTION("""COMPUTED_VALUE"""),"Захар")</f>
        <v>Захар</v>
      </c>
      <c r="D110" t="str">
        <f ca="1">IFERROR(__xludf.DUMMYFUNCTION("""COMPUTED_VALUE"""),"Школа 8")</f>
        <v>Школа 8</v>
      </c>
      <c r="E110" s="5">
        <f ca="1">IFERROR(__xludf.DUMMYFUNCTION("""COMPUTED_VALUE"""),3)</f>
        <v>3</v>
      </c>
      <c r="F110" s="5">
        <f ca="1">IFERROR(__xludf.DUMMYFUNCTION("""COMPUTED_VALUE"""),2)</f>
        <v>2</v>
      </c>
      <c r="G110" s="5">
        <f ca="1">IFERROR(__xludf.DUMMYFUNCTION("""COMPUTED_VALUE"""),2)</f>
        <v>2</v>
      </c>
      <c r="H110" s="5">
        <f ca="1">IFERROR(__xludf.DUMMYFUNCTION("""COMPUTED_VALUE"""),0)</f>
        <v>0</v>
      </c>
      <c r="I110" s="5">
        <f ca="1">IFERROR(__xludf.DUMMYFUNCTION("""COMPUTED_VALUE"""),0)</f>
        <v>0</v>
      </c>
      <c r="J110" s="5">
        <f ca="1">IFERROR(__xludf.DUMMYFUNCTION("""COMPUTED_VALUE"""),1)</f>
        <v>1</v>
      </c>
      <c r="K110" s="5">
        <f ca="1">IFERROR(__xludf.DUMMYFUNCTION("""COMPUTED_VALUE"""),2)</f>
        <v>2</v>
      </c>
      <c r="L110" s="5">
        <f ca="1">IFERROR(__xludf.DUMMYFUNCTION("""COMPUTED_VALUE"""),0)</f>
        <v>0</v>
      </c>
      <c r="M110">
        <f ca="1">IFERROR(__xludf.DUMMYFUNCTION("""COMPUTED_VALUE"""),10)</f>
        <v>10</v>
      </c>
      <c r="N110" s="8" t="str">
        <f ca="1">IFERROR(__xludf.DUMMYFUNCTION("""COMPUTED_VALUE"""),"ПО2")</f>
        <v>ПО2</v>
      </c>
    </row>
    <row r="111" spans="1:14" ht="12.45" hidden="1">
      <c r="A111" t="str">
        <f ca="1">IFERROR(__xludf.DUMMYFUNCTION("""COMPUTED_VALUE"""),"III-3-289")</f>
        <v>III-3-289</v>
      </c>
      <c r="B111" t="str">
        <f ca="1">IFERROR(__xludf.DUMMYFUNCTION("""COMPUTED_VALUE"""),"Лийв")</f>
        <v>Лийв</v>
      </c>
      <c r="C111" t="str">
        <f ca="1">IFERROR(__xludf.DUMMYFUNCTION("""COMPUTED_VALUE"""),"Анна")</f>
        <v>Анна</v>
      </c>
      <c r="D111" t="str">
        <f ca="1">IFERROR(__xludf.DUMMYFUNCTION("""COMPUTED_VALUE"""),"Школа 619")</f>
        <v>Школа 619</v>
      </c>
      <c r="E111" s="5">
        <f ca="1">IFERROR(__xludf.DUMMYFUNCTION("""COMPUTED_VALUE"""),3)</f>
        <v>3</v>
      </c>
      <c r="F111" s="5">
        <f ca="1">IFERROR(__xludf.DUMMYFUNCTION("""COMPUTED_VALUE"""),2)</f>
        <v>2</v>
      </c>
      <c r="G111" s="5">
        <f ca="1">IFERROR(__xludf.DUMMYFUNCTION("""COMPUTED_VALUE"""),2)</f>
        <v>2</v>
      </c>
      <c r="H111" s="5">
        <f ca="1">IFERROR(__xludf.DUMMYFUNCTION("""COMPUTED_VALUE"""),0)</f>
        <v>0</v>
      </c>
      <c r="I111" s="5">
        <f ca="1">IFERROR(__xludf.DUMMYFUNCTION("""COMPUTED_VALUE"""),0)</f>
        <v>0</v>
      </c>
      <c r="J111" s="5">
        <f ca="1">IFERROR(__xludf.DUMMYFUNCTION("""COMPUTED_VALUE"""),0)</f>
        <v>0</v>
      </c>
      <c r="K111" s="5">
        <f ca="1">IFERROR(__xludf.DUMMYFUNCTION("""COMPUTED_VALUE"""),2)</f>
        <v>2</v>
      </c>
      <c r="L111" s="5">
        <f ca="1">IFERROR(__xludf.DUMMYFUNCTION("""COMPUTED_VALUE"""),1)</f>
        <v>1</v>
      </c>
      <c r="M111">
        <f ca="1">IFERROR(__xludf.DUMMYFUNCTION("""COMPUTED_VALUE"""),10)</f>
        <v>10</v>
      </c>
      <c r="N111" s="8" t="str">
        <f ca="1">IFERROR(__xludf.DUMMYFUNCTION("""COMPUTED_VALUE"""),"ПО2")</f>
        <v>ПО2</v>
      </c>
    </row>
    <row r="112" spans="1:14" ht="12.45" hidden="1">
      <c r="A112" t="str">
        <f ca="1">IFERROR(__xludf.DUMMYFUNCTION("""COMPUTED_VALUE"""),"III-3-291")</f>
        <v>III-3-291</v>
      </c>
      <c r="B112" t="str">
        <f ca="1">IFERROR(__xludf.DUMMYFUNCTION("""COMPUTED_VALUE"""),"Лисицин")</f>
        <v>Лисицин</v>
      </c>
      <c r="C112" t="str">
        <f ca="1">IFERROR(__xludf.DUMMYFUNCTION("""COMPUTED_VALUE"""),"Матвей")</f>
        <v>Матвей</v>
      </c>
      <c r="D112" t="str">
        <f ca="1">IFERROR(__xludf.DUMMYFUNCTION("""COMPUTED_VALUE"""),"Гимназия 642")</f>
        <v>Гимназия 642</v>
      </c>
      <c r="E112" s="5">
        <f ca="1">IFERROR(__xludf.DUMMYFUNCTION("""COMPUTED_VALUE"""),1)</f>
        <v>1</v>
      </c>
      <c r="F112" s="5">
        <f ca="1">IFERROR(__xludf.DUMMYFUNCTION("""COMPUTED_VALUE"""),0)</f>
        <v>0</v>
      </c>
      <c r="G112" s="5">
        <f ca="1">IFERROR(__xludf.DUMMYFUNCTION("""COMPUTED_VALUE"""),1)</f>
        <v>1</v>
      </c>
      <c r="H112" s="5">
        <f ca="1">IFERROR(__xludf.DUMMYFUNCTION("""COMPUTED_VALUE"""),4)</f>
        <v>4</v>
      </c>
      <c r="I112" s="5">
        <f ca="1">IFERROR(__xludf.DUMMYFUNCTION("""COMPUTED_VALUE"""),0)</f>
        <v>0</v>
      </c>
      <c r="J112" s="5">
        <f ca="1">IFERROR(__xludf.DUMMYFUNCTION("""COMPUTED_VALUE"""),0)</f>
        <v>0</v>
      </c>
      <c r="K112" s="5">
        <f ca="1">IFERROR(__xludf.DUMMYFUNCTION("""COMPUTED_VALUE"""),2)</f>
        <v>2</v>
      </c>
      <c r="L112" s="5">
        <f ca="1">IFERROR(__xludf.DUMMYFUNCTION("""COMPUTED_VALUE"""),2)</f>
        <v>2</v>
      </c>
      <c r="M112">
        <f ca="1">IFERROR(__xludf.DUMMYFUNCTION("""COMPUTED_VALUE"""),10)</f>
        <v>10</v>
      </c>
      <c r="N112" s="8" t="str">
        <f ca="1">IFERROR(__xludf.DUMMYFUNCTION("""COMPUTED_VALUE"""),"ПО2")</f>
        <v>ПО2</v>
      </c>
    </row>
    <row r="113" spans="1:14" ht="12.45" hidden="1">
      <c r="A113" t="str">
        <f ca="1">IFERROR(__xludf.DUMMYFUNCTION("""COMPUTED_VALUE"""),"V-3-421")</f>
        <v>V-3-421</v>
      </c>
      <c r="B113" t="str">
        <f ca="1">IFERROR(__xludf.DUMMYFUNCTION("""COMPUTED_VALUE"""),"Попов")</f>
        <v>Попов</v>
      </c>
      <c r="C113" t="str">
        <f ca="1">IFERROR(__xludf.DUMMYFUNCTION("""COMPUTED_VALUE"""),"Данила")</f>
        <v>Данила</v>
      </c>
      <c r="D113" t="str">
        <f ca="1">IFERROR(__xludf.DUMMYFUNCTION("""COMPUTED_VALUE"""),"Школа 385")</f>
        <v>Школа 385</v>
      </c>
      <c r="E113" s="5">
        <f ca="1">IFERROR(__xludf.DUMMYFUNCTION("""COMPUTED_VALUE"""),3)</f>
        <v>3</v>
      </c>
      <c r="F113" s="5">
        <f ca="1">IFERROR(__xludf.DUMMYFUNCTION("""COMPUTED_VALUE"""),2)</f>
        <v>2</v>
      </c>
      <c r="G113" s="5">
        <f ca="1">IFERROR(__xludf.DUMMYFUNCTION("""COMPUTED_VALUE"""),2)</f>
        <v>2</v>
      </c>
      <c r="H113" s="5">
        <f ca="1">IFERROR(__xludf.DUMMYFUNCTION("""COMPUTED_VALUE"""),0)</f>
        <v>0</v>
      </c>
      <c r="I113" s="5">
        <f ca="1">IFERROR(__xludf.DUMMYFUNCTION("""COMPUTED_VALUE"""),0)</f>
        <v>0</v>
      </c>
      <c r="J113" s="5">
        <f ca="1">IFERROR(__xludf.DUMMYFUNCTION("""COMPUTED_VALUE"""),1)</f>
        <v>1</v>
      </c>
      <c r="K113" s="5">
        <f ca="1">IFERROR(__xludf.DUMMYFUNCTION("""COMPUTED_VALUE"""),1)</f>
        <v>1</v>
      </c>
      <c r="L113" s="5">
        <f ca="1">IFERROR(__xludf.DUMMYFUNCTION("""COMPUTED_VALUE"""),1)</f>
        <v>1</v>
      </c>
      <c r="M113">
        <f ca="1">IFERROR(__xludf.DUMMYFUNCTION("""COMPUTED_VALUE"""),10)</f>
        <v>10</v>
      </c>
      <c r="N113" s="8" t="str">
        <f ca="1">IFERROR(__xludf.DUMMYFUNCTION("""COMPUTED_VALUE"""),"ПО2")</f>
        <v>ПО2</v>
      </c>
    </row>
    <row r="114" spans="1:14" ht="12.45" hidden="1">
      <c r="A114">
        <f ca="1">IFERROR(__xludf.DUMMYFUNCTION("""COMPUTED_VALUE"""),0)</f>
        <v>0</v>
      </c>
      <c r="B114" t="str">
        <f ca="1">IFERROR(__xludf.DUMMYFUNCTION("""COMPUTED_VALUE"""),"Кириченко")</f>
        <v>Кириченко</v>
      </c>
      <c r="C114" t="str">
        <f ca="1">IFERROR(__xludf.DUMMYFUNCTION("""COMPUTED_VALUE"""),"Роман")</f>
        <v>Роман</v>
      </c>
      <c r="D114" t="str">
        <f ca="1">IFERROR(__xludf.DUMMYFUNCTION("""COMPUTED_VALUE"""),"Школа 75")</f>
        <v>Школа 75</v>
      </c>
      <c r="E114" s="5">
        <f ca="1">IFERROR(__xludf.DUMMYFUNCTION("""COMPUTED_VALUE"""),0)</f>
        <v>0</v>
      </c>
      <c r="F114" s="5">
        <f ca="1">IFERROR(__xludf.DUMMYFUNCTION("""COMPUTED_VALUE"""),2)</f>
        <v>2</v>
      </c>
      <c r="G114" s="5">
        <f ca="1">IFERROR(__xludf.DUMMYFUNCTION("""COMPUTED_VALUE"""),2)</f>
        <v>2</v>
      </c>
      <c r="H114" s="5">
        <f ca="1">IFERROR(__xludf.DUMMYFUNCTION("""COMPUTED_VALUE"""),4)</f>
        <v>4</v>
      </c>
      <c r="I114" s="5">
        <f ca="1">IFERROR(__xludf.DUMMYFUNCTION("""COMPUTED_VALUE"""),0)</f>
        <v>0</v>
      </c>
      <c r="J114" s="5">
        <f ca="1">IFERROR(__xludf.DUMMYFUNCTION("""COMPUTED_VALUE"""),0)</f>
        <v>0</v>
      </c>
      <c r="K114" s="5">
        <f ca="1">IFERROR(__xludf.DUMMYFUNCTION("""COMPUTED_VALUE"""),2)</f>
        <v>2</v>
      </c>
      <c r="L114" s="5">
        <f ca="1">IFERROR(__xludf.DUMMYFUNCTION("""COMPUTED_VALUE"""),0)</f>
        <v>0</v>
      </c>
      <c r="M114">
        <f ca="1">IFERROR(__xludf.DUMMYFUNCTION("""COMPUTED_VALUE"""),10)</f>
        <v>10</v>
      </c>
      <c r="N114" s="8" t="str">
        <f ca="1">IFERROR(__xludf.DUMMYFUNCTION("""COMPUTED_VALUE"""),"ПО2")</f>
        <v>ПО2</v>
      </c>
    </row>
    <row r="115" spans="1:14" ht="12.45" hidden="1">
      <c r="A115" t="str">
        <f ca="1">IFERROR(__xludf.DUMMYFUNCTION("""COMPUTED_VALUE"""),"V-3-379")</f>
        <v>V-3-379</v>
      </c>
      <c r="B115" t="str">
        <f ca="1">IFERROR(__xludf.DUMMYFUNCTION("""COMPUTED_VALUE"""),"Образцова")</f>
        <v>Образцова</v>
      </c>
      <c r="C115" t="str">
        <f ca="1">IFERROR(__xludf.DUMMYFUNCTION("""COMPUTED_VALUE"""),"Ксения")</f>
        <v>Ксения</v>
      </c>
      <c r="D115" t="str">
        <f ca="1">IFERROR(__xludf.DUMMYFUNCTION("""COMPUTED_VALUE"""),"Гимназия 67")</f>
        <v>Гимназия 67</v>
      </c>
      <c r="E115" s="5">
        <f ca="1">IFERROR(__xludf.DUMMYFUNCTION("""COMPUTED_VALUE"""),3)</f>
        <v>3</v>
      </c>
      <c r="F115" s="5">
        <f ca="1">IFERROR(__xludf.DUMMYFUNCTION("""COMPUTED_VALUE"""),2)</f>
        <v>2</v>
      </c>
      <c r="G115" s="5">
        <f ca="1">IFERROR(__xludf.DUMMYFUNCTION("""COMPUTED_VALUE"""),2)</f>
        <v>2</v>
      </c>
      <c r="H115" s="5">
        <f ca="1">IFERROR(__xludf.DUMMYFUNCTION("""COMPUTED_VALUE"""),2)</f>
        <v>2</v>
      </c>
      <c r="I115" s="5">
        <f ca="1">IFERROR(__xludf.DUMMYFUNCTION("""COMPUTED_VALUE"""),0)</f>
        <v>0</v>
      </c>
      <c r="J115" s="5">
        <f ca="1">IFERROR(__xludf.DUMMYFUNCTION("""COMPUTED_VALUE"""),1)</f>
        <v>1</v>
      </c>
      <c r="K115" s="5">
        <f ca="1">IFERROR(__xludf.DUMMYFUNCTION("""COMPUTED_VALUE"""),0)</f>
        <v>0</v>
      </c>
      <c r="L115" s="5">
        <f ca="1">IFERROR(__xludf.DUMMYFUNCTION("""COMPUTED_VALUE"""),0)</f>
        <v>0</v>
      </c>
      <c r="M115">
        <f ca="1">IFERROR(__xludf.DUMMYFUNCTION("""COMPUTED_VALUE"""),10)</f>
        <v>10</v>
      </c>
      <c r="N115" s="8" t="str">
        <f ca="1">IFERROR(__xludf.DUMMYFUNCTION("""COMPUTED_VALUE"""),"ПО2")</f>
        <v>ПО2</v>
      </c>
    </row>
    <row r="116" spans="1:14" ht="12.45" hidden="1">
      <c r="A116" t="str">
        <f ca="1">IFERROR(__xludf.DUMMYFUNCTION("""COMPUTED_VALUE"""),"V-3-436")</f>
        <v>V-3-436</v>
      </c>
      <c r="B116" t="str">
        <f ca="1">IFERROR(__xludf.DUMMYFUNCTION("""COMPUTED_VALUE"""),"Резанов")</f>
        <v>Резанов</v>
      </c>
      <c r="C116" t="str">
        <f ca="1">IFERROR(__xludf.DUMMYFUNCTION("""COMPUTED_VALUE"""),"Максим")</f>
        <v>Максим</v>
      </c>
      <c r="D116" t="str">
        <f ca="1">IFERROR(__xludf.DUMMYFUNCTION("""COMPUTED_VALUE"""),"Школа 688")</f>
        <v>Школа 688</v>
      </c>
      <c r="E116" s="5">
        <f ca="1">IFERROR(__xludf.DUMMYFUNCTION("""COMPUTED_VALUE"""),0)</f>
        <v>0</v>
      </c>
      <c r="F116" s="5">
        <f ca="1">IFERROR(__xludf.DUMMYFUNCTION("""COMPUTED_VALUE"""),1)</f>
        <v>1</v>
      </c>
      <c r="G116" s="5">
        <f ca="1">IFERROR(__xludf.DUMMYFUNCTION("""COMPUTED_VALUE"""),1)</f>
        <v>1</v>
      </c>
      <c r="H116" s="5">
        <f ca="1">IFERROR(__xludf.DUMMYFUNCTION("""COMPUTED_VALUE"""),2)</f>
        <v>2</v>
      </c>
      <c r="I116" s="5">
        <f ca="1">IFERROR(__xludf.DUMMYFUNCTION("""COMPUTED_VALUE"""),5)</f>
        <v>5</v>
      </c>
      <c r="J116" s="5">
        <f ca="1">IFERROR(__xludf.DUMMYFUNCTION("""COMPUTED_VALUE"""),0)</f>
        <v>0</v>
      </c>
      <c r="K116" s="5">
        <f ca="1">IFERROR(__xludf.DUMMYFUNCTION("""COMPUTED_VALUE"""),0)</f>
        <v>0</v>
      </c>
      <c r="L116" s="5">
        <f ca="1">IFERROR(__xludf.DUMMYFUNCTION("""COMPUTED_VALUE"""),0)</f>
        <v>0</v>
      </c>
      <c r="M116">
        <f ca="1">IFERROR(__xludf.DUMMYFUNCTION("""COMPUTED_VALUE"""),9)</f>
        <v>9</v>
      </c>
      <c r="N116" s="8" t="str">
        <f ca="1">IFERROR(__xludf.DUMMYFUNCTION("""COMPUTED_VALUE"""),"ПО2")</f>
        <v>ПО2</v>
      </c>
    </row>
    <row r="117" spans="1:14" ht="12.45" hidden="1">
      <c r="A117" t="str">
        <f ca="1">IFERROR(__xludf.DUMMYFUNCTION("""COMPUTED_VALUE"""),"III-3-113")</f>
        <v>III-3-113</v>
      </c>
      <c r="B117" t="str">
        <f ca="1">IFERROR(__xludf.DUMMYFUNCTION("""COMPUTED_VALUE"""),"Грибовский")</f>
        <v>Грибовский</v>
      </c>
      <c r="C117" t="str">
        <f ca="1">IFERROR(__xludf.DUMMYFUNCTION("""COMPUTED_VALUE"""),"Михаил")</f>
        <v>Михаил</v>
      </c>
      <c r="D117" t="str">
        <f ca="1">IFERROR(__xludf.DUMMYFUNCTION("""COMPUTED_VALUE"""),"Гимназия 698")</f>
        <v>Гимназия 698</v>
      </c>
      <c r="E117" s="5">
        <f ca="1">IFERROR(__xludf.DUMMYFUNCTION("""COMPUTED_VALUE"""),0)</f>
        <v>0</v>
      </c>
      <c r="F117" s="5">
        <f ca="1">IFERROR(__xludf.DUMMYFUNCTION("""COMPUTED_VALUE"""),0)</f>
        <v>0</v>
      </c>
      <c r="G117" s="5">
        <f ca="1">IFERROR(__xludf.DUMMYFUNCTION("""COMPUTED_VALUE"""),3)</f>
        <v>3</v>
      </c>
      <c r="H117" s="5">
        <f ca="1">IFERROR(__xludf.DUMMYFUNCTION("""COMPUTED_VALUE"""),2)</f>
        <v>2</v>
      </c>
      <c r="I117" s="5">
        <f ca="1">IFERROR(__xludf.DUMMYFUNCTION("""COMPUTED_VALUE"""),4)</f>
        <v>4</v>
      </c>
      <c r="J117" s="5">
        <f ca="1">IFERROR(__xludf.DUMMYFUNCTION("""COMPUTED_VALUE"""),0)</f>
        <v>0</v>
      </c>
      <c r="K117" s="5">
        <f ca="1">IFERROR(__xludf.DUMMYFUNCTION("""COMPUTED_VALUE"""),0)</f>
        <v>0</v>
      </c>
      <c r="L117" s="5">
        <f ca="1">IFERROR(__xludf.DUMMYFUNCTION("""COMPUTED_VALUE"""),0)</f>
        <v>0</v>
      </c>
      <c r="M117">
        <f ca="1">IFERROR(__xludf.DUMMYFUNCTION("""COMPUTED_VALUE"""),9)</f>
        <v>9</v>
      </c>
      <c r="N117" s="8" t="str">
        <f ca="1">IFERROR(__xludf.DUMMYFUNCTION("""COMPUTED_VALUE"""),"ПО2")</f>
        <v>ПО2</v>
      </c>
    </row>
    <row r="118" spans="1:14" ht="12.45" hidden="1">
      <c r="A118" t="str">
        <f ca="1">IFERROR(__xludf.DUMMYFUNCTION("""COMPUTED_VALUE"""),"V-3-559")</f>
        <v>V-3-559</v>
      </c>
      <c r="B118" t="str">
        <f ca="1">IFERROR(__xludf.DUMMYFUNCTION("""COMPUTED_VALUE"""),"Хохлов")</f>
        <v>Хохлов</v>
      </c>
      <c r="C118" t="str">
        <f ca="1">IFERROR(__xludf.DUMMYFUNCTION("""COMPUTED_VALUE"""),"Александр")</f>
        <v>Александр</v>
      </c>
      <c r="D118" t="str">
        <f ca="1">IFERROR(__xludf.DUMMYFUNCTION("""COMPUTED_VALUE"""),"Школа 242")</f>
        <v>Школа 242</v>
      </c>
      <c r="E118" s="5">
        <f ca="1">IFERROR(__xludf.DUMMYFUNCTION("""COMPUTED_VALUE"""),1)</f>
        <v>1</v>
      </c>
      <c r="F118" s="5">
        <f ca="1">IFERROR(__xludf.DUMMYFUNCTION("""COMPUTED_VALUE"""),0)</f>
        <v>0</v>
      </c>
      <c r="G118" s="5">
        <f ca="1">IFERROR(__xludf.DUMMYFUNCTION("""COMPUTED_VALUE"""),2)</f>
        <v>2</v>
      </c>
      <c r="H118" s="5">
        <f ca="1">IFERROR(__xludf.DUMMYFUNCTION("""COMPUTED_VALUE"""),0)</f>
        <v>0</v>
      </c>
      <c r="I118" s="5">
        <f ca="1">IFERROR(__xludf.DUMMYFUNCTION("""COMPUTED_VALUE"""),4)</f>
        <v>4</v>
      </c>
      <c r="J118" s="5">
        <f ca="1">IFERROR(__xludf.DUMMYFUNCTION("""COMPUTED_VALUE"""),0)</f>
        <v>0</v>
      </c>
      <c r="K118" s="5">
        <f ca="1">IFERROR(__xludf.DUMMYFUNCTION("""COMPUTED_VALUE"""),2)</f>
        <v>2</v>
      </c>
      <c r="L118" s="5">
        <f ca="1">IFERROR(__xludf.DUMMYFUNCTION("""COMPUTED_VALUE"""),0)</f>
        <v>0</v>
      </c>
      <c r="M118">
        <f ca="1">IFERROR(__xludf.DUMMYFUNCTION("""COMPUTED_VALUE"""),9)</f>
        <v>9</v>
      </c>
      <c r="N118" s="8" t="str">
        <f ca="1">IFERROR(__xludf.DUMMYFUNCTION("""COMPUTED_VALUE"""),"ПО2")</f>
        <v>ПО2</v>
      </c>
    </row>
    <row r="119" spans="1:14" ht="12.45" hidden="1">
      <c r="A119" t="str">
        <f ca="1">IFERROR(__xludf.DUMMYFUNCTION("""COMPUTED_VALUE"""),"V-3-494")</f>
        <v>V-3-494</v>
      </c>
      <c r="B119" t="str">
        <f ca="1">IFERROR(__xludf.DUMMYFUNCTION("""COMPUTED_VALUE"""),"Соловьева")</f>
        <v>Соловьева</v>
      </c>
      <c r="C119" t="str">
        <f ca="1">IFERROR(__xludf.DUMMYFUNCTION("""COMPUTED_VALUE"""),"Алиса")</f>
        <v>Алиса</v>
      </c>
      <c r="D119" t="str">
        <f ca="1">IFERROR(__xludf.DUMMYFUNCTION("""COMPUTED_VALUE"""),"Школа 141")</f>
        <v>Школа 141</v>
      </c>
      <c r="E119" s="5">
        <f ca="1">IFERROR(__xludf.DUMMYFUNCTION("""COMPUTED_VALUE"""),1)</f>
        <v>1</v>
      </c>
      <c r="F119" s="5">
        <f ca="1">IFERROR(__xludf.DUMMYFUNCTION("""COMPUTED_VALUE"""),1)</f>
        <v>1</v>
      </c>
      <c r="G119" s="5">
        <f ca="1">IFERROR(__xludf.DUMMYFUNCTION("""COMPUTED_VALUE"""),0)</f>
        <v>0</v>
      </c>
      <c r="H119" s="5">
        <f ca="1">IFERROR(__xludf.DUMMYFUNCTION("""COMPUTED_VALUE"""),0)</f>
        <v>0</v>
      </c>
      <c r="I119" s="5">
        <f ca="1">IFERROR(__xludf.DUMMYFUNCTION("""COMPUTED_VALUE"""),4)</f>
        <v>4</v>
      </c>
      <c r="J119" s="5">
        <f ca="1">IFERROR(__xludf.DUMMYFUNCTION("""COMPUTED_VALUE"""),1)</f>
        <v>1</v>
      </c>
      <c r="K119" s="5">
        <f ca="1">IFERROR(__xludf.DUMMYFUNCTION("""COMPUTED_VALUE"""),2)</f>
        <v>2</v>
      </c>
      <c r="L119" s="5">
        <f ca="1">IFERROR(__xludf.DUMMYFUNCTION("""COMPUTED_VALUE"""),0)</f>
        <v>0</v>
      </c>
      <c r="M119">
        <f ca="1">IFERROR(__xludf.DUMMYFUNCTION("""COMPUTED_VALUE"""),9)</f>
        <v>9</v>
      </c>
      <c r="N119" s="8" t="str">
        <f ca="1">IFERROR(__xludf.DUMMYFUNCTION("""COMPUTED_VALUE"""),"ПО2")</f>
        <v>ПО2</v>
      </c>
    </row>
    <row r="120" spans="1:14" ht="12.45" hidden="1">
      <c r="A120" t="str">
        <f ca="1">IFERROR(__xludf.DUMMYFUNCTION("""COMPUTED_VALUE"""),"III-3-219")</f>
        <v>III-3-219</v>
      </c>
      <c r="B120" t="str">
        <f ca="1">IFERROR(__xludf.DUMMYFUNCTION("""COMPUTED_VALUE"""),"Когтева")</f>
        <v>Когтева</v>
      </c>
      <c r="C120" t="str">
        <f ca="1">IFERROR(__xludf.DUMMYFUNCTION("""COMPUTED_VALUE"""),"Варвара")</f>
        <v>Варвара</v>
      </c>
      <c r="D120" t="str">
        <f ca="1">IFERROR(__xludf.DUMMYFUNCTION("""COMPUTED_VALUE"""),"Лицей 344")</f>
        <v>Лицей 344</v>
      </c>
      <c r="E120" s="5">
        <f ca="1">IFERROR(__xludf.DUMMYFUNCTION("""COMPUTED_VALUE"""),0)</f>
        <v>0</v>
      </c>
      <c r="F120" s="5">
        <f ca="1">IFERROR(__xludf.DUMMYFUNCTION("""COMPUTED_VALUE"""),5)</f>
        <v>5</v>
      </c>
      <c r="G120" s="5">
        <f ca="1">IFERROR(__xludf.DUMMYFUNCTION("""COMPUTED_VALUE"""),1)</f>
        <v>1</v>
      </c>
      <c r="H120" s="5">
        <f ca="1">IFERROR(__xludf.DUMMYFUNCTION("""COMPUTED_VALUE"""),0)</f>
        <v>0</v>
      </c>
      <c r="I120" s="5">
        <f ca="1">IFERROR(__xludf.DUMMYFUNCTION("""COMPUTED_VALUE"""),3)</f>
        <v>3</v>
      </c>
      <c r="J120" s="5">
        <f ca="1">IFERROR(__xludf.DUMMYFUNCTION("""COMPUTED_VALUE"""),0)</f>
        <v>0</v>
      </c>
      <c r="K120" s="5">
        <f ca="1">IFERROR(__xludf.DUMMYFUNCTION("""COMPUTED_VALUE"""),0)</f>
        <v>0</v>
      </c>
      <c r="L120" s="5">
        <f ca="1">IFERROR(__xludf.DUMMYFUNCTION("""COMPUTED_VALUE"""),0)</f>
        <v>0</v>
      </c>
      <c r="M120">
        <f ca="1">IFERROR(__xludf.DUMMYFUNCTION("""COMPUTED_VALUE"""),9)</f>
        <v>9</v>
      </c>
      <c r="N120" s="8" t="str">
        <f ca="1">IFERROR(__xludf.DUMMYFUNCTION("""COMPUTED_VALUE"""),"ПО2")</f>
        <v>ПО2</v>
      </c>
    </row>
    <row r="121" spans="1:14" ht="12.45" hidden="1">
      <c r="A121" t="str">
        <f ca="1">IFERROR(__xludf.DUMMYFUNCTION("""COMPUTED_VALUE"""),"V-3-507")</f>
        <v>V-3-507</v>
      </c>
      <c r="B121" t="str">
        <f ca="1">IFERROR(__xludf.DUMMYFUNCTION("""COMPUTED_VALUE"""),"Сырников")</f>
        <v>Сырников</v>
      </c>
      <c r="C121" t="str">
        <f ca="1">IFERROR(__xludf.DUMMYFUNCTION("""COMPUTED_VALUE"""),"Михаил")</f>
        <v>Михаил</v>
      </c>
      <c r="D121" t="str">
        <f ca="1">IFERROR(__xludf.DUMMYFUNCTION("""COMPUTED_VALUE"""),"Лицей 470")</f>
        <v>Лицей 470</v>
      </c>
      <c r="E121" s="5">
        <f ca="1">IFERROR(__xludf.DUMMYFUNCTION("""COMPUTED_VALUE"""),3)</f>
        <v>3</v>
      </c>
      <c r="F121" s="5">
        <f ca="1">IFERROR(__xludf.DUMMYFUNCTION("""COMPUTED_VALUE"""),2)</f>
        <v>2</v>
      </c>
      <c r="G121" s="5">
        <f ca="1">IFERROR(__xludf.DUMMYFUNCTION("""COMPUTED_VALUE"""),1)</f>
        <v>1</v>
      </c>
      <c r="H121" s="5">
        <f ca="1">IFERROR(__xludf.DUMMYFUNCTION("""COMPUTED_VALUE"""),0)</f>
        <v>0</v>
      </c>
      <c r="I121" s="5">
        <f ca="1">IFERROR(__xludf.DUMMYFUNCTION("""COMPUTED_VALUE"""),2)</f>
        <v>2</v>
      </c>
      <c r="J121" s="5">
        <f ca="1">IFERROR(__xludf.DUMMYFUNCTION("""COMPUTED_VALUE"""),1)</f>
        <v>1</v>
      </c>
      <c r="K121" s="5">
        <f ca="1">IFERROR(__xludf.DUMMYFUNCTION("""COMPUTED_VALUE"""),0)</f>
        <v>0</v>
      </c>
      <c r="L121" s="5">
        <f ca="1">IFERROR(__xludf.DUMMYFUNCTION("""COMPUTED_VALUE"""),0)</f>
        <v>0</v>
      </c>
      <c r="M121">
        <f ca="1">IFERROR(__xludf.DUMMYFUNCTION("""COMPUTED_VALUE"""),9)</f>
        <v>9</v>
      </c>
      <c r="N121" s="8" t="str">
        <f ca="1">IFERROR(__xludf.DUMMYFUNCTION("""COMPUTED_VALUE"""),"ПО2")</f>
        <v>ПО2</v>
      </c>
    </row>
    <row r="122" spans="1:14" ht="12.45" hidden="1">
      <c r="A122" t="str">
        <f ca="1">IFERROR(__xludf.DUMMYFUNCTION("""COMPUTED_VALUE"""),"III-3-056")</f>
        <v>III-3-056</v>
      </c>
      <c r="B122" t="str">
        <f ca="1">IFERROR(__xludf.DUMMYFUNCTION("""COMPUTED_VALUE"""),"Боровинский")</f>
        <v>Боровинский</v>
      </c>
      <c r="C122" t="str">
        <f ca="1">IFERROR(__xludf.DUMMYFUNCTION("""COMPUTED_VALUE"""),"Тимофей")</f>
        <v>Тимофей</v>
      </c>
      <c r="D122" t="str">
        <f ca="1">IFERROR(__xludf.DUMMYFUNCTION("""COMPUTED_VALUE"""),"Гимназия 56")</f>
        <v>Гимназия 56</v>
      </c>
      <c r="E122" s="5">
        <f ca="1">IFERROR(__xludf.DUMMYFUNCTION("""COMPUTED_VALUE"""),1)</f>
        <v>1</v>
      </c>
      <c r="F122" s="5">
        <f ca="1">IFERROR(__xludf.DUMMYFUNCTION("""COMPUTED_VALUE"""),2)</f>
        <v>2</v>
      </c>
      <c r="G122" s="5">
        <f ca="1">IFERROR(__xludf.DUMMYFUNCTION("""COMPUTED_VALUE"""),1)</f>
        <v>1</v>
      </c>
      <c r="H122" s="5">
        <f ca="1">IFERROR(__xludf.DUMMYFUNCTION("""COMPUTED_VALUE"""),0)</f>
        <v>0</v>
      </c>
      <c r="I122" s="5">
        <f ca="1">IFERROR(__xludf.DUMMYFUNCTION("""COMPUTED_VALUE"""),2)</f>
        <v>2</v>
      </c>
      <c r="J122" s="5">
        <f ca="1">IFERROR(__xludf.DUMMYFUNCTION("""COMPUTED_VALUE"""),2)</f>
        <v>2</v>
      </c>
      <c r="K122" s="5">
        <f ca="1">IFERROR(__xludf.DUMMYFUNCTION("""COMPUTED_VALUE"""),0)</f>
        <v>0</v>
      </c>
      <c r="L122" s="5">
        <f ca="1">IFERROR(__xludf.DUMMYFUNCTION("""COMPUTED_VALUE"""),1)</f>
        <v>1</v>
      </c>
      <c r="M122">
        <f ca="1">IFERROR(__xludf.DUMMYFUNCTION("""COMPUTED_VALUE"""),9)</f>
        <v>9</v>
      </c>
      <c r="N122" s="8" t="str">
        <f ca="1">IFERROR(__xludf.DUMMYFUNCTION("""COMPUTED_VALUE"""),"ПО2")</f>
        <v>ПО2</v>
      </c>
    </row>
    <row r="123" spans="1:14" ht="12.45" hidden="1">
      <c r="A123" t="str">
        <f ca="1">IFERROR(__xludf.DUMMYFUNCTION("""COMPUTED_VALUE"""),"III-3-276")</f>
        <v>III-3-276</v>
      </c>
      <c r="B123" t="str">
        <f ca="1">IFERROR(__xludf.DUMMYFUNCTION("""COMPUTED_VALUE"""),"Ладоха")</f>
        <v>Ладоха</v>
      </c>
      <c r="C123" t="str">
        <f ca="1">IFERROR(__xludf.DUMMYFUNCTION("""COMPUTED_VALUE"""),"Матвей")</f>
        <v>Матвей</v>
      </c>
      <c r="D123" t="str">
        <f ca="1">IFERROR(__xludf.DUMMYFUNCTION("""COMPUTED_VALUE"""),"Гимназия 271")</f>
        <v>Гимназия 271</v>
      </c>
      <c r="E123" s="5">
        <f ca="1">IFERROR(__xludf.DUMMYFUNCTION("""COMPUTED_VALUE"""),1)</f>
        <v>1</v>
      </c>
      <c r="F123" s="5">
        <f ca="1">IFERROR(__xludf.DUMMYFUNCTION("""COMPUTED_VALUE"""),2)</f>
        <v>2</v>
      </c>
      <c r="G123" s="5">
        <f ca="1">IFERROR(__xludf.DUMMYFUNCTION("""COMPUTED_VALUE"""),1)</f>
        <v>1</v>
      </c>
      <c r="H123" s="5">
        <f ca="1">IFERROR(__xludf.DUMMYFUNCTION("""COMPUTED_VALUE"""),2)</f>
        <v>2</v>
      </c>
      <c r="I123" s="5">
        <f ca="1">IFERROR(__xludf.DUMMYFUNCTION("""COMPUTED_VALUE"""),2)</f>
        <v>2</v>
      </c>
      <c r="J123" s="5">
        <f ca="1">IFERROR(__xludf.DUMMYFUNCTION("""COMPUTED_VALUE"""),0)</f>
        <v>0</v>
      </c>
      <c r="K123" s="5">
        <f ca="1">IFERROR(__xludf.DUMMYFUNCTION("""COMPUTED_VALUE"""),0)</f>
        <v>0</v>
      </c>
      <c r="L123" s="5">
        <f ca="1">IFERROR(__xludf.DUMMYFUNCTION("""COMPUTED_VALUE"""),1)</f>
        <v>1</v>
      </c>
      <c r="M123">
        <f ca="1">IFERROR(__xludf.DUMMYFUNCTION("""COMPUTED_VALUE"""),9)</f>
        <v>9</v>
      </c>
      <c r="N123" s="8" t="str">
        <f ca="1">IFERROR(__xludf.DUMMYFUNCTION("""COMPUTED_VALUE"""),"ПО2")</f>
        <v>ПО2</v>
      </c>
    </row>
    <row r="124" spans="1:14" ht="12.45" hidden="1">
      <c r="A124" t="str">
        <f ca="1">IFERROR(__xludf.DUMMYFUNCTION("""COMPUTED_VALUE"""),"III-3-204")</f>
        <v>III-3-204</v>
      </c>
      <c r="B124" t="str">
        <f ca="1">IFERROR(__xludf.DUMMYFUNCTION("""COMPUTED_VALUE"""),"Кашников")</f>
        <v>Кашников</v>
      </c>
      <c r="C124" t="str">
        <f ca="1">IFERROR(__xludf.DUMMYFUNCTION("""COMPUTED_VALUE"""),"Егор")</f>
        <v>Егор</v>
      </c>
      <c r="D124" t="str">
        <f ca="1">IFERROR(__xludf.DUMMYFUNCTION("""COMPUTED_VALUE"""),"Гимназия 107")</f>
        <v>Гимназия 107</v>
      </c>
      <c r="E124" s="5">
        <f ca="1">IFERROR(__xludf.DUMMYFUNCTION("""COMPUTED_VALUE"""),2)</f>
        <v>2</v>
      </c>
      <c r="F124" s="5">
        <f ca="1">IFERROR(__xludf.DUMMYFUNCTION("""COMPUTED_VALUE"""),2)</f>
        <v>2</v>
      </c>
      <c r="G124" s="5">
        <f ca="1">IFERROR(__xludf.DUMMYFUNCTION("""COMPUTED_VALUE"""),1)</f>
        <v>1</v>
      </c>
      <c r="H124" s="5">
        <f ca="1">IFERROR(__xludf.DUMMYFUNCTION("""COMPUTED_VALUE"""),0)</f>
        <v>0</v>
      </c>
      <c r="I124" s="5">
        <f ca="1">IFERROR(__xludf.DUMMYFUNCTION("""COMPUTED_VALUE"""),2)</f>
        <v>2</v>
      </c>
      <c r="J124" s="5">
        <f ca="1">IFERROR(__xludf.DUMMYFUNCTION("""COMPUTED_VALUE"""),0)</f>
        <v>0</v>
      </c>
      <c r="K124" s="5">
        <f ca="1">IFERROR(__xludf.DUMMYFUNCTION("""COMPUTED_VALUE"""),2)</f>
        <v>2</v>
      </c>
      <c r="L124" s="5">
        <f ca="1">IFERROR(__xludf.DUMMYFUNCTION("""COMPUTED_VALUE"""),0)</f>
        <v>0</v>
      </c>
      <c r="M124">
        <f ca="1">IFERROR(__xludf.DUMMYFUNCTION("""COMPUTED_VALUE"""),9)</f>
        <v>9</v>
      </c>
      <c r="N124" s="8" t="str">
        <f ca="1">IFERROR(__xludf.DUMMYFUNCTION("""COMPUTED_VALUE"""),"ПО2")</f>
        <v>ПО2</v>
      </c>
    </row>
    <row r="125" spans="1:14" ht="12.45" hidden="1">
      <c r="A125" t="str">
        <f ca="1">IFERROR(__xludf.DUMMYFUNCTION("""COMPUTED_VALUE"""),"III-3-167")</f>
        <v>III-3-167</v>
      </c>
      <c r="B125" t="str">
        <f ca="1">IFERROR(__xludf.DUMMYFUNCTION("""COMPUTED_VALUE"""),"Зуев")</f>
        <v>Зуев</v>
      </c>
      <c r="C125" t="str">
        <f ca="1">IFERROR(__xludf.DUMMYFUNCTION("""COMPUTED_VALUE"""),"Денис")</f>
        <v>Денис</v>
      </c>
      <c r="D125" t="str">
        <f ca="1">IFERROR(__xludf.DUMMYFUNCTION("""COMPUTED_VALUE"""),"Лицей 470")</f>
        <v>Лицей 470</v>
      </c>
      <c r="E125" s="5">
        <f ca="1">IFERROR(__xludf.DUMMYFUNCTION("""COMPUTED_VALUE"""),0)</f>
        <v>0</v>
      </c>
      <c r="F125" s="5">
        <f ca="1">IFERROR(__xludf.DUMMYFUNCTION("""COMPUTED_VALUE"""),2)</f>
        <v>2</v>
      </c>
      <c r="G125" s="5">
        <f ca="1">IFERROR(__xludf.DUMMYFUNCTION("""COMPUTED_VALUE"""),1)</f>
        <v>1</v>
      </c>
      <c r="H125" s="5">
        <f ca="1">IFERROR(__xludf.DUMMYFUNCTION("""COMPUTED_VALUE"""),0)</f>
        <v>0</v>
      </c>
      <c r="I125" s="5">
        <f ca="1">IFERROR(__xludf.DUMMYFUNCTION("""COMPUTED_VALUE"""),2)</f>
        <v>2</v>
      </c>
      <c r="J125" s="5">
        <f ca="1">IFERROR(__xludf.DUMMYFUNCTION("""COMPUTED_VALUE"""),1)</f>
        <v>1</v>
      </c>
      <c r="K125" s="5">
        <f ca="1">IFERROR(__xludf.DUMMYFUNCTION("""COMPUTED_VALUE"""),2)</f>
        <v>2</v>
      </c>
      <c r="L125" s="5">
        <f ca="1">IFERROR(__xludf.DUMMYFUNCTION("""COMPUTED_VALUE"""),1)</f>
        <v>1</v>
      </c>
      <c r="M125">
        <f ca="1">IFERROR(__xludf.DUMMYFUNCTION("""COMPUTED_VALUE"""),9)</f>
        <v>9</v>
      </c>
      <c r="N125" s="8" t="str">
        <f ca="1">IFERROR(__xludf.DUMMYFUNCTION("""COMPUTED_VALUE"""),"ПО2")</f>
        <v>ПО2</v>
      </c>
    </row>
    <row r="126" spans="1:14" ht="12.45" hidden="1">
      <c r="A126" t="str">
        <f ca="1">IFERROR(__xludf.DUMMYFUNCTION("""COMPUTED_VALUE"""),"V-3-506")</f>
        <v>V-3-506</v>
      </c>
      <c r="B126" t="str">
        <f ca="1">IFERROR(__xludf.DUMMYFUNCTION("""COMPUTED_VALUE"""),"Сыман")</f>
        <v>Сыман</v>
      </c>
      <c r="C126" t="str">
        <f ca="1">IFERROR(__xludf.DUMMYFUNCTION("""COMPUTED_VALUE"""),"Алексей")</f>
        <v>Алексей</v>
      </c>
      <c r="D126" t="str">
        <f ca="1">IFERROR(__xludf.DUMMYFUNCTION("""COMPUTED_VALUE"""),"Гимназия 171")</f>
        <v>Гимназия 171</v>
      </c>
      <c r="E126" s="5">
        <f ca="1">IFERROR(__xludf.DUMMYFUNCTION("""COMPUTED_VALUE"""),1)</f>
        <v>1</v>
      </c>
      <c r="F126" s="5">
        <f ca="1">IFERROR(__xludf.DUMMYFUNCTION("""COMPUTED_VALUE"""),1)</f>
        <v>1</v>
      </c>
      <c r="G126" s="5">
        <f ca="1">IFERROR(__xludf.DUMMYFUNCTION("""COMPUTED_VALUE"""),1)</f>
        <v>1</v>
      </c>
      <c r="H126" s="5">
        <f ca="1">IFERROR(__xludf.DUMMYFUNCTION("""COMPUTED_VALUE"""),0)</f>
        <v>0</v>
      </c>
      <c r="I126" s="5">
        <f ca="1">IFERROR(__xludf.DUMMYFUNCTION("""COMPUTED_VALUE"""),2)</f>
        <v>2</v>
      </c>
      <c r="J126" s="5">
        <f ca="1">IFERROR(__xludf.DUMMYFUNCTION("""COMPUTED_VALUE"""),0)</f>
        <v>0</v>
      </c>
      <c r="K126" s="5">
        <f ca="1">IFERROR(__xludf.DUMMYFUNCTION("""COMPUTED_VALUE"""),2)</f>
        <v>2</v>
      </c>
      <c r="L126" s="5">
        <f ca="1">IFERROR(__xludf.DUMMYFUNCTION("""COMPUTED_VALUE"""),2)</f>
        <v>2</v>
      </c>
      <c r="M126">
        <f ca="1">IFERROR(__xludf.DUMMYFUNCTION("""COMPUTED_VALUE"""),9)</f>
        <v>9</v>
      </c>
      <c r="N126" s="8" t="str">
        <f ca="1">IFERROR(__xludf.DUMMYFUNCTION("""COMPUTED_VALUE"""),"ПО2")</f>
        <v>ПО2</v>
      </c>
    </row>
    <row r="127" spans="1:14" ht="12.45" hidden="1">
      <c r="A127" t="str">
        <f ca="1">IFERROR(__xludf.DUMMYFUNCTION("""COMPUTED_VALUE"""),"III-3-155")</f>
        <v>III-3-155</v>
      </c>
      <c r="B127" t="str">
        <f ca="1">IFERROR(__xludf.DUMMYFUNCTION("""COMPUTED_VALUE"""),"Завьялов")</f>
        <v>Завьялов</v>
      </c>
      <c r="C127" t="str">
        <f ca="1">IFERROR(__xludf.DUMMYFUNCTION("""COMPUTED_VALUE"""),"Герман")</f>
        <v>Герман</v>
      </c>
      <c r="D127" t="str">
        <f ca="1">IFERROR(__xludf.DUMMYFUNCTION("""COMPUTED_VALUE"""),"Гимназия 642 Земля Вселенная")</f>
        <v>Гимназия 642 Земля Вселенная</v>
      </c>
      <c r="E127" s="5">
        <f ca="1">IFERROR(__xludf.DUMMYFUNCTION("""COMPUTED_VALUE"""),0)</f>
        <v>0</v>
      </c>
      <c r="F127" s="5">
        <f ca="1">IFERROR(__xludf.DUMMYFUNCTION("""COMPUTED_VALUE"""),4)</f>
        <v>4</v>
      </c>
      <c r="G127" s="5">
        <f ca="1">IFERROR(__xludf.DUMMYFUNCTION("""COMPUTED_VALUE"""),2)</f>
        <v>2</v>
      </c>
      <c r="H127" s="5">
        <f ca="1">IFERROR(__xludf.DUMMYFUNCTION("""COMPUTED_VALUE"""),0)</f>
        <v>0</v>
      </c>
      <c r="I127" s="5">
        <f ca="1">IFERROR(__xludf.DUMMYFUNCTION("""COMPUTED_VALUE"""),0)</f>
        <v>0</v>
      </c>
      <c r="J127" s="5">
        <f ca="1">IFERROR(__xludf.DUMMYFUNCTION("""COMPUTED_VALUE"""),0)</f>
        <v>0</v>
      </c>
      <c r="K127" s="5">
        <f ca="1">IFERROR(__xludf.DUMMYFUNCTION("""COMPUTED_VALUE"""),2)</f>
        <v>2</v>
      </c>
      <c r="L127" s="5">
        <f ca="1">IFERROR(__xludf.DUMMYFUNCTION("""COMPUTED_VALUE"""),1)</f>
        <v>1</v>
      </c>
      <c r="M127">
        <f ca="1">IFERROR(__xludf.DUMMYFUNCTION("""COMPUTED_VALUE"""),9)</f>
        <v>9</v>
      </c>
      <c r="N127" s="8" t="str">
        <f ca="1">IFERROR(__xludf.DUMMYFUNCTION("""COMPUTED_VALUE"""),"ПО2")</f>
        <v>ПО2</v>
      </c>
    </row>
    <row r="128" spans="1:14" ht="12.45" hidden="1">
      <c r="A128" t="str">
        <f ca="1">IFERROR(__xludf.DUMMYFUNCTION("""COMPUTED_VALUE"""),"V-3-315")</f>
        <v>V-3-315</v>
      </c>
      <c r="B128" t="str">
        <f ca="1">IFERROR(__xludf.DUMMYFUNCTION("""COMPUTED_VALUE"""),"Мардинский")</f>
        <v>Мардинский</v>
      </c>
      <c r="C128" t="str">
        <f ca="1">IFERROR(__xludf.DUMMYFUNCTION("""COMPUTED_VALUE"""),"Артем")</f>
        <v>Артем</v>
      </c>
      <c r="D128" t="str">
        <f ca="1">IFERROR(__xludf.DUMMYFUNCTION("""COMPUTED_VALUE"""),"Гимназия 73")</f>
        <v>Гимназия 73</v>
      </c>
      <c r="E128" s="5">
        <f ca="1">IFERROR(__xludf.DUMMYFUNCTION("""COMPUTED_VALUE"""),3)</f>
        <v>3</v>
      </c>
      <c r="F128" s="5">
        <f ca="1">IFERROR(__xludf.DUMMYFUNCTION("""COMPUTED_VALUE"""),2)</f>
        <v>2</v>
      </c>
      <c r="G128" s="5">
        <f ca="1">IFERROR(__xludf.DUMMYFUNCTION("""COMPUTED_VALUE"""),0)</f>
        <v>0</v>
      </c>
      <c r="H128" s="5">
        <f ca="1">IFERROR(__xludf.DUMMYFUNCTION("""COMPUTED_VALUE"""),0)</f>
        <v>0</v>
      </c>
      <c r="I128" s="5">
        <f ca="1">IFERROR(__xludf.DUMMYFUNCTION("""COMPUTED_VALUE"""),0)</f>
        <v>0</v>
      </c>
      <c r="J128" s="5">
        <f ca="1">IFERROR(__xludf.DUMMYFUNCTION("""COMPUTED_VALUE"""),1)</f>
        <v>1</v>
      </c>
      <c r="K128" s="5">
        <f ca="1">IFERROR(__xludf.DUMMYFUNCTION("""COMPUTED_VALUE"""),2)</f>
        <v>2</v>
      </c>
      <c r="L128" s="5">
        <f ca="1">IFERROR(__xludf.DUMMYFUNCTION("""COMPUTED_VALUE"""),1)</f>
        <v>1</v>
      </c>
      <c r="M128">
        <f ca="1">IFERROR(__xludf.DUMMYFUNCTION("""COMPUTED_VALUE"""),9)</f>
        <v>9</v>
      </c>
      <c r="N128" s="8" t="str">
        <f ca="1">IFERROR(__xludf.DUMMYFUNCTION("""COMPUTED_VALUE"""),"ПО2")</f>
        <v>ПО2</v>
      </c>
    </row>
    <row r="129" spans="1:14" ht="12.45" hidden="1">
      <c r="A129" t="str">
        <f ca="1">IFERROR(__xludf.DUMMYFUNCTION("""COMPUTED_VALUE"""),"V-3-589")</f>
        <v>V-3-589</v>
      </c>
      <c r="B129" t="str">
        <f ca="1">IFERROR(__xludf.DUMMYFUNCTION("""COMPUTED_VALUE"""),"Щербич")</f>
        <v>Щербич</v>
      </c>
      <c r="C129" t="str">
        <f ca="1">IFERROR(__xludf.DUMMYFUNCTION("""COMPUTED_VALUE"""),"Устинья")</f>
        <v>Устинья</v>
      </c>
      <c r="D129" t="str">
        <f ca="1">IFERROR(__xludf.DUMMYFUNCTION("""COMPUTED_VALUE"""),"Гимназия 642")</f>
        <v>Гимназия 642</v>
      </c>
      <c r="E129" s="5">
        <f ca="1">IFERROR(__xludf.DUMMYFUNCTION("""COMPUTED_VALUE"""),0)</f>
        <v>0</v>
      </c>
      <c r="F129" s="5">
        <f ca="1">IFERROR(__xludf.DUMMYFUNCTION("""COMPUTED_VALUE"""),2)</f>
        <v>2</v>
      </c>
      <c r="G129" s="5">
        <f ca="1">IFERROR(__xludf.DUMMYFUNCTION("""COMPUTED_VALUE"""),1)</f>
        <v>1</v>
      </c>
      <c r="H129" s="5">
        <f ca="1">IFERROR(__xludf.DUMMYFUNCTION("""COMPUTED_VALUE"""),0)</f>
        <v>0</v>
      </c>
      <c r="I129" s="5">
        <f ca="1">IFERROR(__xludf.DUMMYFUNCTION("""COMPUTED_VALUE"""),0)</f>
        <v>0</v>
      </c>
      <c r="J129" s="5">
        <f ca="1">IFERROR(__xludf.DUMMYFUNCTION("""COMPUTED_VALUE"""),4)</f>
        <v>4</v>
      </c>
      <c r="K129" s="5">
        <f ca="1">IFERROR(__xludf.DUMMYFUNCTION("""COMPUTED_VALUE"""),2)</f>
        <v>2</v>
      </c>
      <c r="L129" s="5">
        <f ca="1">IFERROR(__xludf.DUMMYFUNCTION("""COMPUTED_VALUE"""),0)</f>
        <v>0</v>
      </c>
      <c r="M129">
        <f ca="1">IFERROR(__xludf.DUMMYFUNCTION("""COMPUTED_VALUE"""),9)</f>
        <v>9</v>
      </c>
      <c r="N129" s="8" t="str">
        <f ca="1">IFERROR(__xludf.DUMMYFUNCTION("""COMPUTED_VALUE"""),"ПО2")</f>
        <v>ПО2</v>
      </c>
    </row>
    <row r="130" spans="1:14" ht="12.45" hidden="1">
      <c r="A130" t="str">
        <f ca="1">IFERROR(__xludf.DUMMYFUNCTION("""COMPUTED_VALUE"""),"V-3-322")</f>
        <v>V-3-322</v>
      </c>
      <c r="B130" t="str">
        <f ca="1">IFERROR(__xludf.DUMMYFUNCTION("""COMPUTED_VALUE"""),"Матвеева")</f>
        <v>Матвеева</v>
      </c>
      <c r="C130" t="str">
        <f ca="1">IFERROR(__xludf.DUMMYFUNCTION("""COMPUTED_VALUE"""),"Ксения")</f>
        <v>Ксения</v>
      </c>
      <c r="D130" t="str">
        <f ca="1">IFERROR(__xludf.DUMMYFUNCTION("""COMPUTED_VALUE"""),"Гимназия 171")</f>
        <v>Гимназия 171</v>
      </c>
      <c r="E130" s="5">
        <f ca="1">IFERROR(__xludf.DUMMYFUNCTION("""COMPUTED_VALUE"""),1)</f>
        <v>1</v>
      </c>
      <c r="F130" s="5">
        <f ca="1">IFERROR(__xludf.DUMMYFUNCTION("""COMPUTED_VALUE"""),1)</f>
        <v>1</v>
      </c>
      <c r="G130" s="5">
        <f ca="1">IFERROR(__xludf.DUMMYFUNCTION("""COMPUTED_VALUE"""),1)</f>
        <v>1</v>
      </c>
      <c r="H130" s="5">
        <f ca="1">IFERROR(__xludf.DUMMYFUNCTION("""COMPUTED_VALUE"""),4)</f>
        <v>4</v>
      </c>
      <c r="I130" s="5">
        <f ca="1">IFERROR(__xludf.DUMMYFUNCTION("""COMPUTED_VALUE"""),0)</f>
        <v>0</v>
      </c>
      <c r="J130" s="5">
        <f ca="1">IFERROR(__xludf.DUMMYFUNCTION("""COMPUTED_VALUE"""),1)</f>
        <v>1</v>
      </c>
      <c r="K130" s="5">
        <f ca="1">IFERROR(__xludf.DUMMYFUNCTION("""COMPUTED_VALUE"""),1)</f>
        <v>1</v>
      </c>
      <c r="L130" s="5">
        <f ca="1">IFERROR(__xludf.DUMMYFUNCTION("""COMPUTED_VALUE"""),0)</f>
        <v>0</v>
      </c>
      <c r="M130">
        <f ca="1">IFERROR(__xludf.DUMMYFUNCTION("""COMPUTED_VALUE"""),9)</f>
        <v>9</v>
      </c>
      <c r="N130" s="8" t="str">
        <f ca="1">IFERROR(__xludf.DUMMYFUNCTION("""COMPUTED_VALUE"""),"ПО2")</f>
        <v>ПО2</v>
      </c>
    </row>
    <row r="131" spans="1:14" ht="12.45" hidden="1">
      <c r="A131" t="str">
        <f ca="1">IFERROR(__xludf.DUMMYFUNCTION("""COMPUTED_VALUE"""),"V-3-458")</f>
        <v>V-3-458</v>
      </c>
      <c r="B131" t="str">
        <f ca="1">IFERROR(__xludf.DUMMYFUNCTION("""COMPUTED_VALUE"""),"Самигулин")</f>
        <v>Самигулин</v>
      </c>
      <c r="C131" t="str">
        <f ca="1">IFERROR(__xludf.DUMMYFUNCTION("""COMPUTED_VALUE"""),"Андрей")</f>
        <v>Андрей</v>
      </c>
      <c r="D131" t="str">
        <f ca="1">IFERROR(__xludf.DUMMYFUNCTION("""COMPUTED_VALUE"""),"Школа Кружок Код успеха")</f>
        <v>Школа Кружок Код успеха</v>
      </c>
      <c r="E131" s="5">
        <f ca="1">IFERROR(__xludf.DUMMYFUNCTION("""COMPUTED_VALUE"""),0)</f>
        <v>0</v>
      </c>
      <c r="F131" s="5">
        <f ca="1">IFERROR(__xludf.DUMMYFUNCTION("""COMPUTED_VALUE"""),1)</f>
        <v>1</v>
      </c>
      <c r="G131" s="5">
        <f ca="1">IFERROR(__xludf.DUMMYFUNCTION("""COMPUTED_VALUE"""),3)</f>
        <v>3</v>
      </c>
      <c r="H131" s="5">
        <f ca="1">IFERROR(__xludf.DUMMYFUNCTION("""COMPUTED_VALUE"""),2)</f>
        <v>2</v>
      </c>
      <c r="I131" s="5">
        <f ca="1">IFERROR(__xludf.DUMMYFUNCTION("""COMPUTED_VALUE"""),0)</f>
        <v>0</v>
      </c>
      <c r="J131" s="5">
        <f ca="1">IFERROR(__xludf.DUMMYFUNCTION("""COMPUTED_VALUE"""),1)</f>
        <v>1</v>
      </c>
      <c r="K131" s="5">
        <f ca="1">IFERROR(__xludf.DUMMYFUNCTION("""COMPUTED_VALUE"""),2)</f>
        <v>2</v>
      </c>
      <c r="L131" s="5">
        <f ca="1">IFERROR(__xludf.DUMMYFUNCTION("""COMPUTED_VALUE"""),0)</f>
        <v>0</v>
      </c>
      <c r="M131">
        <f ca="1">IFERROR(__xludf.DUMMYFUNCTION("""COMPUTED_VALUE"""),9)</f>
        <v>9</v>
      </c>
      <c r="N131" s="8" t="str">
        <f ca="1">IFERROR(__xludf.DUMMYFUNCTION("""COMPUTED_VALUE"""),"ПО2")</f>
        <v>ПО2</v>
      </c>
    </row>
    <row r="132" spans="1:14" ht="12.45" hidden="1">
      <c r="A132" t="str">
        <f ca="1">IFERROR(__xludf.DUMMYFUNCTION("""COMPUTED_VALUE"""),"V-3-355")</f>
        <v>V-3-355</v>
      </c>
      <c r="B132" t="str">
        <f ca="1">IFERROR(__xludf.DUMMYFUNCTION("""COMPUTED_VALUE"""),"Мясников")</f>
        <v>Мясников</v>
      </c>
      <c r="C132" t="str">
        <f ca="1">IFERROR(__xludf.DUMMYFUNCTION("""COMPUTED_VALUE"""),"Александр")</f>
        <v>Александр</v>
      </c>
      <c r="D132" t="str">
        <f ca="1">IFERROR(__xludf.DUMMYFUNCTION("""COMPUTED_VALUE"""),"Гимназия 24 им. И.А. Крылова")</f>
        <v>Гимназия 24 им. И.А. Крылова</v>
      </c>
      <c r="E132" s="5">
        <f ca="1">IFERROR(__xludf.DUMMYFUNCTION("""COMPUTED_VALUE"""),3)</f>
        <v>3</v>
      </c>
      <c r="F132" s="5">
        <f ca="1">IFERROR(__xludf.DUMMYFUNCTION("""COMPUTED_VALUE"""),0)</f>
        <v>0</v>
      </c>
      <c r="G132" s="5">
        <f ca="1">IFERROR(__xludf.DUMMYFUNCTION("""COMPUTED_VALUE"""),2)</f>
        <v>2</v>
      </c>
      <c r="H132" s="5">
        <f ca="1">IFERROR(__xludf.DUMMYFUNCTION("""COMPUTED_VALUE"""),0)</f>
        <v>0</v>
      </c>
      <c r="I132" s="5">
        <f ca="1">IFERROR(__xludf.DUMMYFUNCTION("""COMPUTED_VALUE"""),0)</f>
        <v>0</v>
      </c>
      <c r="J132" s="5">
        <f ca="1">IFERROR(__xludf.DUMMYFUNCTION("""COMPUTED_VALUE"""),2)</f>
        <v>2</v>
      </c>
      <c r="K132" s="5">
        <f ca="1">IFERROR(__xludf.DUMMYFUNCTION("""COMPUTED_VALUE"""),2)</f>
        <v>2</v>
      </c>
      <c r="L132" s="5">
        <f ca="1">IFERROR(__xludf.DUMMYFUNCTION("""COMPUTED_VALUE"""),0)</f>
        <v>0</v>
      </c>
      <c r="M132">
        <f ca="1">IFERROR(__xludf.DUMMYFUNCTION("""COMPUTED_VALUE"""),9)</f>
        <v>9</v>
      </c>
      <c r="N132" s="8" t="str">
        <f ca="1">IFERROR(__xludf.DUMMYFUNCTION("""COMPUTED_VALUE"""),"ПО2")</f>
        <v>ПО2</v>
      </c>
    </row>
    <row r="133" spans="1:14" ht="12.45" hidden="1">
      <c r="A133" t="str">
        <f ca="1">IFERROR(__xludf.DUMMYFUNCTION("""COMPUTED_VALUE"""),"V-3-476")</f>
        <v>V-3-476</v>
      </c>
      <c r="B133" t="str">
        <f ca="1">IFERROR(__xludf.DUMMYFUNCTION("""COMPUTED_VALUE"""),"Сидорова")</f>
        <v>Сидорова</v>
      </c>
      <c r="C133" t="str">
        <f ca="1">IFERROR(__xludf.DUMMYFUNCTION("""COMPUTED_VALUE"""),"Валерия")</f>
        <v>Валерия</v>
      </c>
      <c r="D133" t="str">
        <f ca="1">IFERROR(__xludf.DUMMYFUNCTION("""COMPUTED_VALUE"""),"Гимназия 168")</f>
        <v>Гимназия 168</v>
      </c>
      <c r="E133" s="5">
        <f ca="1">IFERROR(__xludf.DUMMYFUNCTION("""COMPUTED_VALUE"""),3)</f>
        <v>3</v>
      </c>
      <c r="F133" s="5">
        <f ca="1">IFERROR(__xludf.DUMMYFUNCTION("""COMPUTED_VALUE"""),1)</f>
        <v>1</v>
      </c>
      <c r="G133" s="5">
        <f ca="1">IFERROR(__xludf.DUMMYFUNCTION("""COMPUTED_VALUE"""),2)</f>
        <v>2</v>
      </c>
      <c r="H133" s="5">
        <f ca="1">IFERROR(__xludf.DUMMYFUNCTION("""COMPUTED_VALUE"""),0)</f>
        <v>0</v>
      </c>
      <c r="I133" s="5">
        <f ca="1">IFERROR(__xludf.DUMMYFUNCTION("""COMPUTED_VALUE"""),0)</f>
        <v>0</v>
      </c>
      <c r="J133" s="5">
        <f ca="1">IFERROR(__xludf.DUMMYFUNCTION("""COMPUTED_VALUE"""),1)</f>
        <v>1</v>
      </c>
      <c r="K133" s="5">
        <f ca="1">IFERROR(__xludf.DUMMYFUNCTION("""COMPUTED_VALUE"""),2)</f>
        <v>2</v>
      </c>
      <c r="L133" s="5">
        <f ca="1">IFERROR(__xludf.DUMMYFUNCTION("""COMPUTED_VALUE"""),0)</f>
        <v>0</v>
      </c>
      <c r="M133">
        <f ca="1">IFERROR(__xludf.DUMMYFUNCTION("""COMPUTED_VALUE"""),9)</f>
        <v>9</v>
      </c>
      <c r="N133" s="8" t="str">
        <f ca="1">IFERROR(__xludf.DUMMYFUNCTION("""COMPUTED_VALUE"""),"ПО2")</f>
        <v>ПО2</v>
      </c>
    </row>
    <row r="134" spans="1:14" ht="12.45" hidden="1">
      <c r="A134" t="str">
        <f ca="1">IFERROR(__xludf.DUMMYFUNCTION("""COMPUTED_VALUE"""),"V-3-437")</f>
        <v>V-3-437</v>
      </c>
      <c r="B134" t="str">
        <f ca="1">IFERROR(__xludf.DUMMYFUNCTION("""COMPUTED_VALUE"""),"Репкин")</f>
        <v>Репкин</v>
      </c>
      <c r="C134" t="str">
        <f ca="1">IFERROR(__xludf.DUMMYFUNCTION("""COMPUTED_VALUE"""),"Егор")</f>
        <v>Егор</v>
      </c>
      <c r="D134" t="str">
        <f ca="1">IFERROR(__xludf.DUMMYFUNCTION("""COMPUTED_VALUE"""),"Гимназия 49")</f>
        <v>Гимназия 49</v>
      </c>
      <c r="E134" s="5">
        <f ca="1">IFERROR(__xludf.DUMMYFUNCTION("""COMPUTED_VALUE"""),0)</f>
        <v>0</v>
      </c>
      <c r="F134" s="5">
        <f ca="1">IFERROR(__xludf.DUMMYFUNCTION("""COMPUTED_VALUE"""),0)</f>
        <v>0</v>
      </c>
      <c r="G134" s="5">
        <f ca="1">IFERROR(__xludf.DUMMYFUNCTION("""COMPUTED_VALUE"""),2)</f>
        <v>2</v>
      </c>
      <c r="H134" s="5">
        <f ca="1">IFERROR(__xludf.DUMMYFUNCTION("""COMPUTED_VALUE"""),4)</f>
        <v>4</v>
      </c>
      <c r="I134" s="5">
        <f ca="1">IFERROR(__xludf.DUMMYFUNCTION("""COMPUTED_VALUE"""),1)</f>
        <v>1</v>
      </c>
      <c r="J134" s="5">
        <f ca="1">IFERROR(__xludf.DUMMYFUNCTION("""COMPUTED_VALUE"""),1)</f>
        <v>1</v>
      </c>
      <c r="K134" s="5">
        <f ca="1">IFERROR(__xludf.DUMMYFUNCTION("""COMPUTED_VALUE"""),1)</f>
        <v>1</v>
      </c>
      <c r="L134" s="5">
        <f ca="1">IFERROR(__xludf.DUMMYFUNCTION("""COMPUTED_VALUE"""),0)</f>
        <v>0</v>
      </c>
      <c r="M134">
        <f ca="1">IFERROR(__xludf.DUMMYFUNCTION("""COMPUTED_VALUE"""),9)</f>
        <v>9</v>
      </c>
      <c r="N134" s="8" t="str">
        <f ca="1">IFERROR(__xludf.DUMMYFUNCTION("""COMPUTED_VALUE"""),"ПО2")</f>
        <v>ПО2</v>
      </c>
    </row>
    <row r="135" spans="1:14" ht="12.45" hidden="1">
      <c r="A135" t="str">
        <f ca="1">IFERROR(__xludf.DUMMYFUNCTION("""COMPUTED_VALUE"""),"V-3-587")</f>
        <v>V-3-587</v>
      </c>
      <c r="B135" t="str">
        <f ca="1">IFERROR(__xludf.DUMMYFUNCTION("""COMPUTED_VALUE"""),"Щепкин")</f>
        <v>Щепкин</v>
      </c>
      <c r="C135" t="str">
        <f ca="1">IFERROR(__xludf.DUMMYFUNCTION("""COMPUTED_VALUE"""),"Дмитрий")</f>
        <v>Дмитрий</v>
      </c>
      <c r="D135" t="str">
        <f ca="1">IFERROR(__xludf.DUMMYFUNCTION("""COMPUTED_VALUE"""),"Школа 207")</f>
        <v>Школа 207</v>
      </c>
      <c r="E135" s="5">
        <f ca="1">IFERROR(__xludf.DUMMYFUNCTION("""COMPUTED_VALUE"""),0)</f>
        <v>0</v>
      </c>
      <c r="F135" s="5">
        <f ca="1">IFERROR(__xludf.DUMMYFUNCTION("""COMPUTED_VALUE"""),2)</f>
        <v>2</v>
      </c>
      <c r="G135" s="5">
        <f ca="1">IFERROR(__xludf.DUMMYFUNCTION("""COMPUTED_VALUE"""),1)</f>
        <v>1</v>
      </c>
      <c r="H135" s="5">
        <f ca="1">IFERROR(__xludf.DUMMYFUNCTION("""COMPUTED_VALUE"""),0)</f>
        <v>0</v>
      </c>
      <c r="I135" s="5">
        <f ca="1">IFERROR(__xludf.DUMMYFUNCTION("""COMPUTED_VALUE"""),5)</f>
        <v>5</v>
      </c>
      <c r="J135" s="5">
        <f ca="1">IFERROR(__xludf.DUMMYFUNCTION("""COMPUTED_VALUE"""),0)</f>
        <v>0</v>
      </c>
      <c r="K135" s="5">
        <f ca="1">IFERROR(__xludf.DUMMYFUNCTION("""COMPUTED_VALUE"""),0)</f>
        <v>0</v>
      </c>
      <c r="L135" s="5">
        <f ca="1">IFERROR(__xludf.DUMMYFUNCTION("""COMPUTED_VALUE"""),0)</f>
        <v>0</v>
      </c>
      <c r="M135">
        <f ca="1">IFERROR(__xludf.DUMMYFUNCTION("""COMPUTED_VALUE"""),8)</f>
        <v>8</v>
      </c>
      <c r="N135" s="8"/>
    </row>
    <row r="136" spans="1:14" ht="12.45" hidden="1">
      <c r="A136" t="str">
        <f ca="1">IFERROR(__xludf.DUMMYFUNCTION("""COMPUTED_VALUE"""),"III-3-132")</f>
        <v>III-3-132</v>
      </c>
      <c r="B136" t="str">
        <f ca="1">IFERROR(__xludf.DUMMYFUNCTION("""COMPUTED_VALUE"""),"Доронин")</f>
        <v>Доронин</v>
      </c>
      <c r="C136" t="str">
        <f ca="1">IFERROR(__xludf.DUMMYFUNCTION("""COMPUTED_VALUE"""),"Артём")</f>
        <v>Артём</v>
      </c>
      <c r="D136" t="str">
        <f ca="1">IFERROR(__xludf.DUMMYFUNCTION("""COMPUTED_VALUE"""),"Лицей 369")</f>
        <v>Лицей 369</v>
      </c>
      <c r="E136" s="5">
        <f ca="1">IFERROR(__xludf.DUMMYFUNCTION("""COMPUTED_VALUE"""),0)</f>
        <v>0</v>
      </c>
      <c r="F136" s="5">
        <f ca="1">IFERROR(__xludf.DUMMYFUNCTION("""COMPUTED_VALUE"""),1)</f>
        <v>1</v>
      </c>
      <c r="G136" s="5">
        <f ca="1">IFERROR(__xludf.DUMMYFUNCTION("""COMPUTED_VALUE"""),1)</f>
        <v>1</v>
      </c>
      <c r="H136" s="5">
        <f ca="1">IFERROR(__xludf.DUMMYFUNCTION("""COMPUTED_VALUE"""),0)</f>
        <v>0</v>
      </c>
      <c r="I136" s="5">
        <f ca="1">IFERROR(__xludf.DUMMYFUNCTION("""COMPUTED_VALUE"""),5)</f>
        <v>5</v>
      </c>
      <c r="J136" s="5">
        <f ca="1">IFERROR(__xludf.DUMMYFUNCTION("""COMPUTED_VALUE"""),1)</f>
        <v>1</v>
      </c>
      <c r="K136" s="5">
        <f ca="1">IFERROR(__xludf.DUMMYFUNCTION("""COMPUTED_VALUE"""),0)</f>
        <v>0</v>
      </c>
      <c r="L136" s="5">
        <f ca="1">IFERROR(__xludf.DUMMYFUNCTION("""COMPUTED_VALUE"""),0)</f>
        <v>0</v>
      </c>
      <c r="M136">
        <f ca="1">IFERROR(__xludf.DUMMYFUNCTION("""COMPUTED_VALUE"""),8)</f>
        <v>8</v>
      </c>
      <c r="N136" s="8"/>
    </row>
    <row r="137" spans="1:14" ht="12.45" hidden="1">
      <c r="A137" t="str">
        <f ca="1">IFERROR(__xludf.DUMMYFUNCTION("""COMPUTED_VALUE"""),"III-3-036")</f>
        <v>III-3-036</v>
      </c>
      <c r="B137" t="str">
        <f ca="1">IFERROR(__xludf.DUMMYFUNCTION("""COMPUTED_VALUE"""),"Батыжев")</f>
        <v>Батыжев</v>
      </c>
      <c r="C137" t="str">
        <f ca="1">IFERROR(__xludf.DUMMYFUNCTION("""COMPUTED_VALUE"""),"Евгений")</f>
        <v>Евгений</v>
      </c>
      <c r="D137" t="str">
        <f ca="1">IFERROR(__xludf.DUMMYFUNCTION("""COMPUTED_VALUE"""),"Школа 557")</f>
        <v>Школа 557</v>
      </c>
      <c r="E137" s="5">
        <f ca="1">IFERROR(__xludf.DUMMYFUNCTION("""COMPUTED_VALUE"""),1)</f>
        <v>1</v>
      </c>
      <c r="F137" s="5">
        <f ca="1">IFERROR(__xludf.DUMMYFUNCTION("""COMPUTED_VALUE"""),0)</f>
        <v>0</v>
      </c>
      <c r="G137" s="5">
        <f ca="1">IFERROR(__xludf.DUMMYFUNCTION("""COMPUTED_VALUE"""),3)</f>
        <v>3</v>
      </c>
      <c r="H137" s="5">
        <f ca="1">IFERROR(__xludf.DUMMYFUNCTION("""COMPUTED_VALUE"""),0)</f>
        <v>0</v>
      </c>
      <c r="I137" s="5">
        <f ca="1">IFERROR(__xludf.DUMMYFUNCTION("""COMPUTED_VALUE"""),3)</f>
        <v>3</v>
      </c>
      <c r="J137" s="5">
        <f ca="1">IFERROR(__xludf.DUMMYFUNCTION("""COMPUTED_VALUE"""),0)</f>
        <v>0</v>
      </c>
      <c r="K137" s="5">
        <f ca="1">IFERROR(__xludf.DUMMYFUNCTION("""COMPUTED_VALUE"""),1)</f>
        <v>1</v>
      </c>
      <c r="L137" s="5">
        <f ca="1">IFERROR(__xludf.DUMMYFUNCTION("""COMPUTED_VALUE"""),0)</f>
        <v>0</v>
      </c>
      <c r="M137">
        <f ca="1">IFERROR(__xludf.DUMMYFUNCTION("""COMPUTED_VALUE"""),8)</f>
        <v>8</v>
      </c>
      <c r="N137" s="8"/>
    </row>
    <row r="138" spans="1:14" ht="12.45" hidden="1">
      <c r="A138" t="str">
        <f ca="1">IFERROR(__xludf.DUMMYFUNCTION("""COMPUTED_VALUE"""),"III-3-209")</f>
        <v>III-3-209</v>
      </c>
      <c r="B138" t="str">
        <f ca="1">IFERROR(__xludf.DUMMYFUNCTION("""COMPUTED_VALUE"""),"Кирсанов")</f>
        <v>Кирсанов</v>
      </c>
      <c r="C138" t="str">
        <f ca="1">IFERROR(__xludf.DUMMYFUNCTION("""COMPUTED_VALUE"""),"Иван")</f>
        <v>Иван</v>
      </c>
      <c r="D138" t="str">
        <f ca="1">IFERROR(__xludf.DUMMYFUNCTION("""COMPUTED_VALUE"""),"Школа 593")</f>
        <v>Школа 593</v>
      </c>
      <c r="E138" s="5">
        <f ca="1">IFERROR(__xludf.DUMMYFUNCTION("""COMPUTED_VALUE"""),1)</f>
        <v>1</v>
      </c>
      <c r="F138" s="5">
        <f ca="1">IFERROR(__xludf.DUMMYFUNCTION("""COMPUTED_VALUE"""),0)</f>
        <v>0</v>
      </c>
      <c r="G138" s="5">
        <f ca="1">IFERROR(__xludf.DUMMYFUNCTION("""COMPUTED_VALUE"""),2)</f>
        <v>2</v>
      </c>
      <c r="H138" s="5">
        <f ca="1">IFERROR(__xludf.DUMMYFUNCTION("""COMPUTED_VALUE"""),0)</f>
        <v>0</v>
      </c>
      <c r="I138" s="5">
        <f ca="1">IFERROR(__xludf.DUMMYFUNCTION("""COMPUTED_VALUE"""),3)</f>
        <v>3</v>
      </c>
      <c r="J138" s="5">
        <f ca="1">IFERROR(__xludf.DUMMYFUNCTION("""COMPUTED_VALUE"""),2)</f>
        <v>2</v>
      </c>
      <c r="K138" s="5">
        <f ca="1">IFERROR(__xludf.DUMMYFUNCTION("""COMPUTED_VALUE"""),0)</f>
        <v>0</v>
      </c>
      <c r="L138" s="5">
        <f ca="1">IFERROR(__xludf.DUMMYFUNCTION("""COMPUTED_VALUE"""),0)</f>
        <v>0</v>
      </c>
      <c r="M138">
        <f ca="1">IFERROR(__xludf.DUMMYFUNCTION("""COMPUTED_VALUE"""),8)</f>
        <v>8</v>
      </c>
      <c r="N138" s="8"/>
    </row>
    <row r="139" spans="1:14" ht="12.45" hidden="1">
      <c r="A139" t="str">
        <f ca="1">IFERROR(__xludf.DUMMYFUNCTION("""COMPUTED_VALUE"""),"III-3-059")</f>
        <v>III-3-059</v>
      </c>
      <c r="B139" t="str">
        <f ca="1">IFERROR(__xludf.DUMMYFUNCTION("""COMPUTED_VALUE"""),"Бриллиантова")</f>
        <v>Бриллиантова</v>
      </c>
      <c r="C139" t="str">
        <f ca="1">IFERROR(__xludf.DUMMYFUNCTION("""COMPUTED_VALUE"""),"Марина")</f>
        <v>Марина</v>
      </c>
      <c r="D139" t="str">
        <f ca="1">IFERROR(__xludf.DUMMYFUNCTION("""COMPUTED_VALUE"""),"Лицей 344")</f>
        <v>Лицей 344</v>
      </c>
      <c r="E139" s="5">
        <f ca="1">IFERROR(__xludf.DUMMYFUNCTION("""COMPUTED_VALUE"""),0)</f>
        <v>0</v>
      </c>
      <c r="F139" s="5">
        <f ca="1">IFERROR(__xludf.DUMMYFUNCTION("""COMPUTED_VALUE"""),2)</f>
        <v>2</v>
      </c>
      <c r="G139" s="5">
        <f ca="1">IFERROR(__xludf.DUMMYFUNCTION("""COMPUTED_VALUE"""),2)</f>
        <v>2</v>
      </c>
      <c r="H139" s="5">
        <f ca="1">IFERROR(__xludf.DUMMYFUNCTION("""COMPUTED_VALUE"""),0)</f>
        <v>0</v>
      </c>
      <c r="I139" s="5">
        <f ca="1">IFERROR(__xludf.DUMMYFUNCTION("""COMPUTED_VALUE"""),3)</f>
        <v>3</v>
      </c>
      <c r="J139" s="5">
        <f ca="1">IFERROR(__xludf.DUMMYFUNCTION("""COMPUTED_VALUE"""),0)</f>
        <v>0</v>
      </c>
      <c r="K139" s="5">
        <f ca="1">IFERROR(__xludf.DUMMYFUNCTION("""COMPUTED_VALUE"""),1)</f>
        <v>1</v>
      </c>
      <c r="L139" s="5">
        <f ca="1">IFERROR(__xludf.DUMMYFUNCTION("""COMPUTED_VALUE"""),0)</f>
        <v>0</v>
      </c>
      <c r="M139">
        <f ca="1">IFERROR(__xludf.DUMMYFUNCTION("""COMPUTED_VALUE"""),8)</f>
        <v>8</v>
      </c>
      <c r="N139" s="8"/>
    </row>
    <row r="140" spans="1:14" ht="12.45" hidden="1">
      <c r="A140" t="str">
        <f ca="1">IFERROR(__xludf.DUMMYFUNCTION("""COMPUTED_VALUE"""),"III-3-019")</f>
        <v>III-3-019</v>
      </c>
      <c r="B140" t="str">
        <f ca="1">IFERROR(__xludf.DUMMYFUNCTION("""COMPUTED_VALUE"""),"Анохина")</f>
        <v>Анохина</v>
      </c>
      <c r="C140" t="str">
        <f ca="1">IFERROR(__xludf.DUMMYFUNCTION("""COMPUTED_VALUE"""),"Анна")</f>
        <v>Анна</v>
      </c>
      <c r="D140" t="str">
        <f ca="1">IFERROR(__xludf.DUMMYFUNCTION("""COMPUTED_VALUE"""),"Лицей 344")</f>
        <v>Лицей 344</v>
      </c>
      <c r="E140" s="5">
        <f ca="1">IFERROR(__xludf.DUMMYFUNCTION("""COMPUTED_VALUE"""),1)</f>
        <v>1</v>
      </c>
      <c r="F140" s="5">
        <f ca="1">IFERROR(__xludf.DUMMYFUNCTION("""COMPUTED_VALUE"""),0)</f>
        <v>0</v>
      </c>
      <c r="G140" s="5">
        <f ca="1">IFERROR(__xludf.DUMMYFUNCTION("""COMPUTED_VALUE"""),1)</f>
        <v>1</v>
      </c>
      <c r="H140" s="5">
        <f ca="1">IFERROR(__xludf.DUMMYFUNCTION("""COMPUTED_VALUE"""),2)</f>
        <v>2</v>
      </c>
      <c r="I140" s="5">
        <f ca="1">IFERROR(__xludf.DUMMYFUNCTION("""COMPUTED_VALUE"""),2)</f>
        <v>2</v>
      </c>
      <c r="J140" s="5">
        <f ca="1">IFERROR(__xludf.DUMMYFUNCTION("""COMPUTED_VALUE"""),0)</f>
        <v>0</v>
      </c>
      <c r="K140" s="5">
        <f ca="1">IFERROR(__xludf.DUMMYFUNCTION("""COMPUTED_VALUE"""),2)</f>
        <v>2</v>
      </c>
      <c r="L140" s="5">
        <f ca="1">IFERROR(__xludf.DUMMYFUNCTION("""COMPUTED_VALUE"""),0)</f>
        <v>0</v>
      </c>
      <c r="M140">
        <f ca="1">IFERROR(__xludf.DUMMYFUNCTION("""COMPUTED_VALUE"""),8)</f>
        <v>8</v>
      </c>
      <c r="N140" s="8"/>
    </row>
    <row r="141" spans="1:14" ht="12.45" hidden="1">
      <c r="A141" t="str">
        <f ca="1">IFERROR(__xludf.DUMMYFUNCTION("""COMPUTED_VALUE"""),"III-3-122")</f>
        <v>III-3-122</v>
      </c>
      <c r="B141" t="str">
        <f ca="1">IFERROR(__xludf.DUMMYFUNCTION("""COMPUTED_VALUE"""),"Давыдов")</f>
        <v>Давыдов</v>
      </c>
      <c r="C141" t="str">
        <f ca="1">IFERROR(__xludf.DUMMYFUNCTION("""COMPUTED_VALUE"""),"Вячеслав")</f>
        <v>Вячеслав</v>
      </c>
      <c r="D141" t="str">
        <f ca="1">IFERROR(__xludf.DUMMYFUNCTION("""COMPUTED_VALUE"""),"Школа 4 Кусто")</f>
        <v>Школа 4 Кусто</v>
      </c>
      <c r="E141" s="5">
        <f ca="1">IFERROR(__xludf.DUMMYFUNCTION("""COMPUTED_VALUE"""),1)</f>
        <v>1</v>
      </c>
      <c r="F141" s="5">
        <f ca="1">IFERROR(__xludf.DUMMYFUNCTION("""COMPUTED_VALUE"""),1)</f>
        <v>1</v>
      </c>
      <c r="G141" s="5">
        <f ca="1">IFERROR(__xludf.DUMMYFUNCTION("""COMPUTED_VALUE"""),2)</f>
        <v>2</v>
      </c>
      <c r="H141" s="5">
        <f ca="1">IFERROR(__xludf.DUMMYFUNCTION("""COMPUTED_VALUE"""),0)</f>
        <v>0</v>
      </c>
      <c r="I141" s="5">
        <f ca="1">IFERROR(__xludf.DUMMYFUNCTION("""COMPUTED_VALUE"""),2)</f>
        <v>2</v>
      </c>
      <c r="J141" s="5">
        <f ca="1">IFERROR(__xludf.DUMMYFUNCTION("""COMPUTED_VALUE"""),0)</f>
        <v>0</v>
      </c>
      <c r="K141" s="5">
        <f ca="1">IFERROR(__xludf.DUMMYFUNCTION("""COMPUTED_VALUE"""),2)</f>
        <v>2</v>
      </c>
      <c r="L141" s="5">
        <f ca="1">IFERROR(__xludf.DUMMYFUNCTION("""COMPUTED_VALUE"""),0)</f>
        <v>0</v>
      </c>
      <c r="M141">
        <f ca="1">IFERROR(__xludf.DUMMYFUNCTION("""COMPUTED_VALUE"""),8)</f>
        <v>8</v>
      </c>
      <c r="N141" s="8"/>
    </row>
    <row r="142" spans="1:14" ht="12.45" hidden="1">
      <c r="A142" t="str">
        <f ca="1">IFERROR(__xludf.DUMMYFUNCTION("""COMPUTED_VALUE"""),"III-3-255")</f>
        <v>III-3-255</v>
      </c>
      <c r="B142" t="str">
        <f ca="1">IFERROR(__xludf.DUMMYFUNCTION("""COMPUTED_VALUE"""),"Кузнецов")</f>
        <v>Кузнецов</v>
      </c>
      <c r="C142" t="str">
        <f ca="1">IFERROR(__xludf.DUMMYFUNCTION("""COMPUTED_VALUE"""),"Никита")</f>
        <v>Никита</v>
      </c>
      <c r="D142" t="str">
        <f ca="1">IFERROR(__xludf.DUMMYFUNCTION("""COMPUTED_VALUE"""),"Гимназия 74")</f>
        <v>Гимназия 74</v>
      </c>
      <c r="E142" s="5">
        <f ca="1">IFERROR(__xludf.DUMMYFUNCTION("""COMPUTED_VALUE"""),0)</f>
        <v>0</v>
      </c>
      <c r="F142" s="5">
        <f ca="1">IFERROR(__xludf.DUMMYFUNCTION("""COMPUTED_VALUE"""),1)</f>
        <v>1</v>
      </c>
      <c r="G142" s="5">
        <f ca="1">IFERROR(__xludf.DUMMYFUNCTION("""COMPUTED_VALUE"""),0)</f>
        <v>0</v>
      </c>
      <c r="H142" s="5">
        <f ca="1">IFERROR(__xludf.DUMMYFUNCTION("""COMPUTED_VALUE"""),0)</f>
        <v>0</v>
      </c>
      <c r="I142" s="5">
        <f ca="1">IFERROR(__xludf.DUMMYFUNCTION("""COMPUTED_VALUE"""),2)</f>
        <v>2</v>
      </c>
      <c r="J142" s="5">
        <f ca="1">IFERROR(__xludf.DUMMYFUNCTION("""COMPUTED_VALUE"""),2)</f>
        <v>2</v>
      </c>
      <c r="K142" s="5">
        <f ca="1">IFERROR(__xludf.DUMMYFUNCTION("""COMPUTED_VALUE"""),1)</f>
        <v>1</v>
      </c>
      <c r="L142" s="5">
        <f ca="1">IFERROR(__xludf.DUMMYFUNCTION("""COMPUTED_VALUE"""),2)</f>
        <v>2</v>
      </c>
      <c r="M142">
        <f ca="1">IFERROR(__xludf.DUMMYFUNCTION("""COMPUTED_VALUE"""),8)</f>
        <v>8</v>
      </c>
      <c r="N142" s="8"/>
    </row>
    <row r="143" spans="1:14" ht="12.45" hidden="1">
      <c r="A143" t="str">
        <f ca="1">IFERROR(__xludf.DUMMYFUNCTION("""COMPUTED_VALUE"""),"III-3-046")</f>
        <v>III-3-046</v>
      </c>
      <c r="B143" t="str">
        <f ca="1">IFERROR(__xludf.DUMMYFUNCTION("""COMPUTED_VALUE"""),"Беспалова")</f>
        <v>Беспалова</v>
      </c>
      <c r="C143" t="str">
        <f ca="1">IFERROR(__xludf.DUMMYFUNCTION("""COMPUTED_VALUE"""),"Полина")</f>
        <v>Полина</v>
      </c>
      <c r="D143" t="str">
        <f ca="1">IFERROR(__xludf.DUMMYFUNCTION("""COMPUTED_VALUE"""),"Школа 1")</f>
        <v>Школа 1</v>
      </c>
      <c r="E143" s="5">
        <f ca="1">IFERROR(__xludf.DUMMYFUNCTION("""COMPUTED_VALUE"""),0)</f>
        <v>0</v>
      </c>
      <c r="F143" s="5">
        <f ca="1">IFERROR(__xludf.DUMMYFUNCTION("""COMPUTED_VALUE"""),2)</f>
        <v>2</v>
      </c>
      <c r="G143" s="5">
        <f ca="1">IFERROR(__xludf.DUMMYFUNCTION("""COMPUTED_VALUE"""),2)</f>
        <v>2</v>
      </c>
      <c r="H143" s="5">
        <f ca="1">IFERROR(__xludf.DUMMYFUNCTION("""COMPUTED_VALUE"""),0)</f>
        <v>0</v>
      </c>
      <c r="I143" s="5">
        <f ca="1">IFERROR(__xludf.DUMMYFUNCTION("""COMPUTED_VALUE"""),2)</f>
        <v>2</v>
      </c>
      <c r="J143" s="5">
        <f ca="1">IFERROR(__xludf.DUMMYFUNCTION("""COMPUTED_VALUE"""),0)</f>
        <v>0</v>
      </c>
      <c r="K143" s="5">
        <f ca="1">IFERROR(__xludf.DUMMYFUNCTION("""COMPUTED_VALUE"""),0)</f>
        <v>0</v>
      </c>
      <c r="L143" s="5">
        <f ca="1">IFERROR(__xludf.DUMMYFUNCTION("""COMPUTED_VALUE"""),2)</f>
        <v>2</v>
      </c>
      <c r="M143">
        <f ca="1">IFERROR(__xludf.DUMMYFUNCTION("""COMPUTED_VALUE"""),8)</f>
        <v>8</v>
      </c>
      <c r="N143" s="8"/>
    </row>
    <row r="144" spans="1:14" ht="12.45" hidden="1">
      <c r="A144" t="str">
        <f ca="1">IFERROR(__xludf.DUMMYFUNCTION("""COMPUTED_VALUE"""),"V-3-517")</f>
        <v>V-3-517</v>
      </c>
      <c r="B144" t="str">
        <f ca="1">IFERROR(__xludf.DUMMYFUNCTION("""COMPUTED_VALUE"""),"Тимошевский")</f>
        <v>Тимошевский</v>
      </c>
      <c r="C144" t="str">
        <f ca="1">IFERROR(__xludf.DUMMYFUNCTION("""COMPUTED_VALUE"""),"Роман")</f>
        <v>Роман</v>
      </c>
      <c r="D144" t="str">
        <f ca="1">IFERROR(__xludf.DUMMYFUNCTION("""COMPUTED_VALUE"""),"Школа 644")</f>
        <v>Школа 644</v>
      </c>
      <c r="E144" s="5">
        <f ca="1">IFERROR(__xludf.DUMMYFUNCTION("""COMPUTED_VALUE"""),1)</f>
        <v>1</v>
      </c>
      <c r="F144" s="5">
        <f ca="1">IFERROR(__xludf.DUMMYFUNCTION("""COMPUTED_VALUE"""),2)</f>
        <v>2</v>
      </c>
      <c r="G144" s="5">
        <f ca="1">IFERROR(__xludf.DUMMYFUNCTION("""COMPUTED_VALUE"""),1)</f>
        <v>1</v>
      </c>
      <c r="H144" s="5">
        <f ca="1">IFERROR(__xludf.DUMMYFUNCTION("""COMPUTED_VALUE"""),2)</f>
        <v>2</v>
      </c>
      <c r="I144" s="5">
        <f ca="1">IFERROR(__xludf.DUMMYFUNCTION("""COMPUTED_VALUE"""),0)</f>
        <v>0</v>
      </c>
      <c r="J144" s="5">
        <f ca="1">IFERROR(__xludf.DUMMYFUNCTION("""COMPUTED_VALUE"""),0)</f>
        <v>0</v>
      </c>
      <c r="K144" s="5">
        <f ca="1">IFERROR(__xludf.DUMMYFUNCTION("""COMPUTED_VALUE"""),2)</f>
        <v>2</v>
      </c>
      <c r="L144" s="5">
        <f ca="1">IFERROR(__xludf.DUMMYFUNCTION("""COMPUTED_VALUE"""),0)</f>
        <v>0</v>
      </c>
      <c r="M144">
        <f ca="1">IFERROR(__xludf.DUMMYFUNCTION("""COMPUTED_VALUE"""),8)</f>
        <v>8</v>
      </c>
      <c r="N144" s="8"/>
    </row>
    <row r="145" spans="1:14" ht="12.45" hidden="1">
      <c r="A145" t="str">
        <f ca="1">IFERROR(__xludf.DUMMYFUNCTION("""COMPUTED_VALUE"""),"V-3-395")</f>
        <v>V-3-395</v>
      </c>
      <c r="B145" t="str">
        <f ca="1">IFERROR(__xludf.DUMMYFUNCTION("""COMPUTED_VALUE"""),"Павлов")</f>
        <v>Павлов</v>
      </c>
      <c r="C145" t="str">
        <f ca="1">IFERROR(__xludf.DUMMYFUNCTION("""COMPUTED_VALUE"""),"Максим")</f>
        <v>Максим</v>
      </c>
      <c r="D145" t="str">
        <f ca="1">IFERROR(__xludf.DUMMYFUNCTION("""COMPUTED_VALUE"""),"Гимназия 177")</f>
        <v>Гимназия 177</v>
      </c>
      <c r="E145" s="5">
        <f ca="1">IFERROR(__xludf.DUMMYFUNCTION("""COMPUTED_VALUE"""),3)</f>
        <v>3</v>
      </c>
      <c r="F145" s="5">
        <f ca="1">IFERROR(__xludf.DUMMYFUNCTION("""COMPUTED_VALUE"""),1)</f>
        <v>1</v>
      </c>
      <c r="G145" s="5">
        <f ca="1">IFERROR(__xludf.DUMMYFUNCTION("""COMPUTED_VALUE"""),0)</f>
        <v>0</v>
      </c>
      <c r="H145" s="5">
        <f ca="1">IFERROR(__xludf.DUMMYFUNCTION("""COMPUTED_VALUE"""),0)</f>
        <v>0</v>
      </c>
      <c r="I145" s="5">
        <f ca="1">IFERROR(__xludf.DUMMYFUNCTION("""COMPUTED_VALUE"""),0)</f>
        <v>0</v>
      </c>
      <c r="J145" s="5">
        <f ca="1">IFERROR(__xludf.DUMMYFUNCTION("""COMPUTED_VALUE"""),0)</f>
        <v>0</v>
      </c>
      <c r="K145" s="5">
        <f ca="1">IFERROR(__xludf.DUMMYFUNCTION("""COMPUTED_VALUE"""),4)</f>
        <v>4</v>
      </c>
      <c r="L145" s="5">
        <f ca="1">IFERROR(__xludf.DUMMYFUNCTION("""COMPUTED_VALUE"""),0)</f>
        <v>0</v>
      </c>
      <c r="M145">
        <f ca="1">IFERROR(__xludf.DUMMYFUNCTION("""COMPUTED_VALUE"""),8)</f>
        <v>8</v>
      </c>
      <c r="N145" s="8"/>
    </row>
    <row r="146" spans="1:14" ht="12.45" hidden="1">
      <c r="A146" t="str">
        <f ca="1">IFERROR(__xludf.DUMMYFUNCTION("""COMPUTED_VALUE"""),"V-3-525")</f>
        <v>V-3-525</v>
      </c>
      <c r="B146" t="str">
        <f ca="1">IFERROR(__xludf.DUMMYFUNCTION("""COMPUTED_VALUE"""),"Трофимов")</f>
        <v>Трофимов</v>
      </c>
      <c r="C146" t="str">
        <f ca="1">IFERROR(__xludf.DUMMYFUNCTION("""COMPUTED_VALUE"""),"Святослав")</f>
        <v>Святослав</v>
      </c>
      <c r="D146" t="str">
        <f ca="1">IFERROR(__xludf.DUMMYFUNCTION("""COMPUTED_VALUE"""),"Школа 106")</f>
        <v>Школа 106</v>
      </c>
      <c r="E146" s="5">
        <f ca="1">IFERROR(__xludf.DUMMYFUNCTION("""COMPUTED_VALUE"""),0)</f>
        <v>0</v>
      </c>
      <c r="F146" s="5">
        <f ca="1">IFERROR(__xludf.DUMMYFUNCTION("""COMPUTED_VALUE"""),5)</f>
        <v>5</v>
      </c>
      <c r="G146" s="5">
        <f ca="1">IFERROR(__xludf.DUMMYFUNCTION("""COMPUTED_VALUE"""),1)</f>
        <v>1</v>
      </c>
      <c r="H146" s="5">
        <f ca="1">IFERROR(__xludf.DUMMYFUNCTION("""COMPUTED_VALUE"""),0)</f>
        <v>0</v>
      </c>
      <c r="I146" s="5">
        <f ca="1">IFERROR(__xludf.DUMMYFUNCTION("""COMPUTED_VALUE"""),0)</f>
        <v>0</v>
      </c>
      <c r="J146" s="5">
        <f ca="1">IFERROR(__xludf.DUMMYFUNCTION("""COMPUTED_VALUE"""),0)</f>
        <v>0</v>
      </c>
      <c r="K146" s="5">
        <f ca="1">IFERROR(__xludf.DUMMYFUNCTION("""COMPUTED_VALUE"""),2)</f>
        <v>2</v>
      </c>
      <c r="L146" s="5">
        <f ca="1">IFERROR(__xludf.DUMMYFUNCTION("""COMPUTED_VALUE"""),0)</f>
        <v>0</v>
      </c>
      <c r="M146">
        <f ca="1">IFERROR(__xludf.DUMMYFUNCTION("""COMPUTED_VALUE"""),8)</f>
        <v>8</v>
      </c>
      <c r="N146" s="8"/>
    </row>
    <row r="147" spans="1:14" ht="12.45" hidden="1">
      <c r="A147" t="str">
        <f ca="1">IFERROR(__xludf.DUMMYFUNCTION("""COMPUTED_VALUE"""),"III-3-142")</f>
        <v>III-3-142</v>
      </c>
      <c r="B147" t="str">
        <f ca="1">IFERROR(__xludf.DUMMYFUNCTION("""COMPUTED_VALUE"""),"Ершова")</f>
        <v>Ершова</v>
      </c>
      <c r="C147" t="str">
        <f ca="1">IFERROR(__xludf.DUMMYFUNCTION("""COMPUTED_VALUE"""),"Виктория")</f>
        <v>Виктория</v>
      </c>
      <c r="D147" t="str">
        <f ca="1">IFERROR(__xludf.DUMMYFUNCTION("""COMPUTED_VALUE"""),"Школа 13")</f>
        <v>Школа 13</v>
      </c>
      <c r="E147" s="5">
        <f ca="1">IFERROR(__xludf.DUMMYFUNCTION("""COMPUTED_VALUE"""),1)</f>
        <v>1</v>
      </c>
      <c r="F147" s="5">
        <f ca="1">IFERROR(__xludf.DUMMYFUNCTION("""COMPUTED_VALUE"""),5)</f>
        <v>5</v>
      </c>
      <c r="G147" s="5">
        <f ca="1">IFERROR(__xludf.DUMMYFUNCTION("""COMPUTED_VALUE"""),0)</f>
        <v>0</v>
      </c>
      <c r="H147" s="5">
        <f ca="1">IFERROR(__xludf.DUMMYFUNCTION("""COMPUTED_VALUE"""),0)</f>
        <v>0</v>
      </c>
      <c r="I147" s="5">
        <f ca="1">IFERROR(__xludf.DUMMYFUNCTION("""COMPUTED_VALUE"""),0)</f>
        <v>0</v>
      </c>
      <c r="J147" s="5">
        <f ca="1">IFERROR(__xludf.DUMMYFUNCTION("""COMPUTED_VALUE"""),0)</f>
        <v>0</v>
      </c>
      <c r="K147" s="5">
        <f ca="1">IFERROR(__xludf.DUMMYFUNCTION("""COMPUTED_VALUE"""),1)</f>
        <v>1</v>
      </c>
      <c r="L147" s="5">
        <f ca="1">IFERROR(__xludf.DUMMYFUNCTION("""COMPUTED_VALUE"""),1)</f>
        <v>1</v>
      </c>
      <c r="M147">
        <f ca="1">IFERROR(__xludf.DUMMYFUNCTION("""COMPUTED_VALUE"""),8)</f>
        <v>8</v>
      </c>
      <c r="N147" s="8"/>
    </row>
    <row r="148" spans="1:14" ht="12.45" hidden="1">
      <c r="A148" t="str">
        <f ca="1">IFERROR(__xludf.DUMMYFUNCTION("""COMPUTED_VALUE"""),"V-3-403")</f>
        <v>V-3-403</v>
      </c>
      <c r="B148" t="str">
        <f ca="1">IFERROR(__xludf.DUMMYFUNCTION("""COMPUTED_VALUE"""),"Папсуев")</f>
        <v>Папсуев</v>
      </c>
      <c r="C148" t="str">
        <f ca="1">IFERROR(__xludf.DUMMYFUNCTION("""COMPUTED_VALUE"""),"Никита")</f>
        <v>Никита</v>
      </c>
      <c r="D148" t="str">
        <f ca="1">IFERROR(__xludf.DUMMYFUNCTION("""COMPUTED_VALUE"""),"Школа 246")</f>
        <v>Школа 246</v>
      </c>
      <c r="E148" s="5">
        <f ca="1">IFERROR(__xludf.DUMMYFUNCTION("""COMPUTED_VALUE"""),0)</f>
        <v>0</v>
      </c>
      <c r="F148" s="5">
        <f ca="1">IFERROR(__xludf.DUMMYFUNCTION("""COMPUTED_VALUE"""),5)</f>
        <v>5</v>
      </c>
      <c r="G148" s="5">
        <f ca="1">IFERROR(__xludf.DUMMYFUNCTION("""COMPUTED_VALUE"""),0)</f>
        <v>0</v>
      </c>
      <c r="H148" s="5">
        <f ca="1">IFERROR(__xludf.DUMMYFUNCTION("""COMPUTED_VALUE"""),0)</f>
        <v>0</v>
      </c>
      <c r="I148" s="5">
        <f ca="1">IFERROR(__xludf.DUMMYFUNCTION("""COMPUTED_VALUE"""),0)</f>
        <v>0</v>
      </c>
      <c r="J148" s="5">
        <f ca="1">IFERROR(__xludf.DUMMYFUNCTION("""COMPUTED_VALUE"""),1)</f>
        <v>1</v>
      </c>
      <c r="K148" s="5">
        <f ca="1">IFERROR(__xludf.DUMMYFUNCTION("""COMPUTED_VALUE"""),2)</f>
        <v>2</v>
      </c>
      <c r="L148" s="5">
        <f ca="1">IFERROR(__xludf.DUMMYFUNCTION("""COMPUTED_VALUE"""),0)</f>
        <v>0</v>
      </c>
      <c r="M148">
        <f ca="1">IFERROR(__xludf.DUMMYFUNCTION("""COMPUTED_VALUE"""),8)</f>
        <v>8</v>
      </c>
      <c r="N148" s="8"/>
    </row>
    <row r="149" spans="1:14" ht="12.45" hidden="1">
      <c r="A149" t="str">
        <f ca="1">IFERROR(__xludf.DUMMYFUNCTION("""COMPUTED_VALUE"""),"III-3-014")</f>
        <v>III-3-014</v>
      </c>
      <c r="B149" t="str">
        <f ca="1">IFERROR(__xludf.DUMMYFUNCTION("""COMPUTED_VALUE"""),"Андреев")</f>
        <v>Андреев</v>
      </c>
      <c r="C149" t="str">
        <f ca="1">IFERROR(__xludf.DUMMYFUNCTION("""COMPUTED_VALUE"""),"Григорий")</f>
        <v>Григорий</v>
      </c>
      <c r="D149" t="str">
        <f ca="1">IFERROR(__xludf.DUMMYFUNCTION("""COMPUTED_VALUE"""),"Лицей 470")</f>
        <v>Лицей 470</v>
      </c>
      <c r="E149" s="5">
        <f ca="1">IFERROR(__xludf.DUMMYFUNCTION("""COMPUTED_VALUE"""),3)</f>
        <v>3</v>
      </c>
      <c r="F149" s="5">
        <f ca="1">IFERROR(__xludf.DUMMYFUNCTION("""COMPUTED_VALUE"""),2)</f>
        <v>2</v>
      </c>
      <c r="G149" s="5">
        <f ca="1">IFERROR(__xludf.DUMMYFUNCTION("""COMPUTED_VALUE"""),3)</f>
        <v>3</v>
      </c>
      <c r="H149" s="5">
        <f ca="1">IFERROR(__xludf.DUMMYFUNCTION("""COMPUTED_VALUE"""),0)</f>
        <v>0</v>
      </c>
      <c r="I149" s="5">
        <f ca="1">IFERROR(__xludf.DUMMYFUNCTION("""COMPUTED_VALUE"""),0)</f>
        <v>0</v>
      </c>
      <c r="J149" s="5">
        <f ca="1">IFERROR(__xludf.DUMMYFUNCTION("""COMPUTED_VALUE"""),0)</f>
        <v>0</v>
      </c>
      <c r="K149" s="5">
        <f ca="1">IFERROR(__xludf.DUMMYFUNCTION("""COMPUTED_VALUE"""),0)</f>
        <v>0</v>
      </c>
      <c r="L149" s="5">
        <f ca="1">IFERROR(__xludf.DUMMYFUNCTION("""COMPUTED_VALUE"""),0)</f>
        <v>0</v>
      </c>
      <c r="M149">
        <f ca="1">IFERROR(__xludf.DUMMYFUNCTION("""COMPUTED_VALUE"""),8)</f>
        <v>8</v>
      </c>
      <c r="N149" s="8"/>
    </row>
    <row r="150" spans="1:14" ht="12.45" hidden="1">
      <c r="A150" t="str">
        <f ca="1">IFERROR(__xludf.DUMMYFUNCTION("""COMPUTED_VALUE"""),"V-3-332")</f>
        <v>V-3-332</v>
      </c>
      <c r="B150" t="str">
        <f ca="1">IFERROR(__xludf.DUMMYFUNCTION("""COMPUTED_VALUE"""),"Микулин")</f>
        <v>Микулин</v>
      </c>
      <c r="C150" t="str">
        <f ca="1">IFERROR(__xludf.DUMMYFUNCTION("""COMPUTED_VALUE"""),"Максим")</f>
        <v>Максим</v>
      </c>
      <c r="D150" t="str">
        <f ca="1">IFERROR(__xludf.DUMMYFUNCTION("""COMPUTED_VALUE"""),"Гимназия 642")</f>
        <v>Гимназия 642</v>
      </c>
      <c r="E150" s="5">
        <f ca="1">IFERROR(__xludf.DUMMYFUNCTION("""COMPUTED_VALUE"""),1)</f>
        <v>1</v>
      </c>
      <c r="F150" s="5">
        <f ca="1">IFERROR(__xludf.DUMMYFUNCTION("""COMPUTED_VALUE"""),1)</f>
        <v>1</v>
      </c>
      <c r="G150" s="5">
        <f ca="1">IFERROR(__xludf.DUMMYFUNCTION("""COMPUTED_VALUE"""),0)</f>
        <v>0</v>
      </c>
      <c r="H150" s="5">
        <f ca="1">IFERROR(__xludf.DUMMYFUNCTION("""COMPUTED_VALUE"""),4)</f>
        <v>4</v>
      </c>
      <c r="I150" s="5">
        <f ca="1">IFERROR(__xludf.DUMMYFUNCTION("""COMPUTED_VALUE"""),0)</f>
        <v>0</v>
      </c>
      <c r="J150" s="5">
        <f ca="1">IFERROR(__xludf.DUMMYFUNCTION("""COMPUTED_VALUE"""),0)</f>
        <v>0</v>
      </c>
      <c r="K150" s="5">
        <f ca="1">IFERROR(__xludf.DUMMYFUNCTION("""COMPUTED_VALUE"""),1)</f>
        <v>1</v>
      </c>
      <c r="L150" s="5">
        <f ca="1">IFERROR(__xludf.DUMMYFUNCTION("""COMPUTED_VALUE"""),1)</f>
        <v>1</v>
      </c>
      <c r="M150">
        <f ca="1">IFERROR(__xludf.DUMMYFUNCTION("""COMPUTED_VALUE"""),8)</f>
        <v>8</v>
      </c>
      <c r="N150" s="8"/>
    </row>
    <row r="151" spans="1:14" ht="12.45" hidden="1">
      <c r="A151" t="str">
        <f ca="1">IFERROR(__xludf.DUMMYFUNCTION("""COMPUTED_VALUE"""),"V-3-446")</f>
        <v>V-3-446</v>
      </c>
      <c r="B151" t="str">
        <f ca="1">IFERROR(__xludf.DUMMYFUNCTION("""COMPUTED_VALUE"""),"Рудиков")</f>
        <v>Рудиков</v>
      </c>
      <c r="C151" t="str">
        <f ca="1">IFERROR(__xludf.DUMMYFUNCTION("""COMPUTED_VALUE"""),"Владимир")</f>
        <v>Владимир</v>
      </c>
      <c r="D151" t="str">
        <f ca="1">IFERROR(__xludf.DUMMYFUNCTION("""COMPUTED_VALUE"""),"Лицей 344")</f>
        <v>Лицей 344</v>
      </c>
      <c r="E151" s="5">
        <f ca="1">IFERROR(__xludf.DUMMYFUNCTION("""COMPUTED_VALUE"""),1)</f>
        <v>1</v>
      </c>
      <c r="F151" s="5">
        <f ca="1">IFERROR(__xludf.DUMMYFUNCTION("""COMPUTED_VALUE"""),2)</f>
        <v>2</v>
      </c>
      <c r="G151" s="5">
        <f ca="1">IFERROR(__xludf.DUMMYFUNCTION("""COMPUTED_VALUE"""),3)</f>
        <v>3</v>
      </c>
      <c r="H151" s="5">
        <f ca="1">IFERROR(__xludf.DUMMYFUNCTION("""COMPUTED_VALUE"""),2)</f>
        <v>2</v>
      </c>
      <c r="I151" s="5">
        <f ca="1">IFERROR(__xludf.DUMMYFUNCTION("""COMPUTED_VALUE"""),0)</f>
        <v>0</v>
      </c>
      <c r="J151" s="5">
        <f ca="1">IFERROR(__xludf.DUMMYFUNCTION("""COMPUTED_VALUE"""),0)</f>
        <v>0</v>
      </c>
      <c r="K151" s="5">
        <f ca="1">IFERROR(__xludf.DUMMYFUNCTION("""COMPUTED_VALUE"""),0)</f>
        <v>0</v>
      </c>
      <c r="L151" s="5">
        <f ca="1">IFERROR(__xludf.DUMMYFUNCTION("""COMPUTED_VALUE"""),0)</f>
        <v>0</v>
      </c>
      <c r="M151">
        <f ca="1">IFERROR(__xludf.DUMMYFUNCTION("""COMPUTED_VALUE"""),8)</f>
        <v>8</v>
      </c>
      <c r="N151" s="8"/>
    </row>
    <row r="152" spans="1:14" ht="12.45" hidden="1">
      <c r="A152" t="str">
        <f ca="1">IFERROR(__xludf.DUMMYFUNCTION("""COMPUTED_VALUE"""),"V-3-497")</f>
        <v>V-3-497</v>
      </c>
      <c r="B152" t="str">
        <f ca="1">IFERROR(__xludf.DUMMYFUNCTION("""COMPUTED_VALUE"""),"Степанов")</f>
        <v>Степанов</v>
      </c>
      <c r="C152" t="str">
        <f ca="1">IFERROR(__xludf.DUMMYFUNCTION("""COMPUTED_VALUE"""),"Максим")</f>
        <v>Максим</v>
      </c>
      <c r="D152" t="str">
        <f ca="1">IFERROR(__xludf.DUMMYFUNCTION("""COMPUTED_VALUE"""),"Школа 212")</f>
        <v>Школа 212</v>
      </c>
      <c r="E152" s="5">
        <f ca="1">IFERROR(__xludf.DUMMYFUNCTION("""COMPUTED_VALUE"""),1)</f>
        <v>1</v>
      </c>
      <c r="F152" s="5">
        <f ca="1">IFERROR(__xludf.DUMMYFUNCTION("""COMPUTED_VALUE"""),1)</f>
        <v>1</v>
      </c>
      <c r="G152" s="5">
        <f ca="1">IFERROR(__xludf.DUMMYFUNCTION("""COMPUTED_VALUE"""),1)</f>
        <v>1</v>
      </c>
      <c r="H152" s="5">
        <f ca="1">IFERROR(__xludf.DUMMYFUNCTION("""COMPUTED_VALUE"""),0)</f>
        <v>0</v>
      </c>
      <c r="I152" s="5">
        <f ca="1">IFERROR(__xludf.DUMMYFUNCTION("""COMPUTED_VALUE"""),0)</f>
        <v>0</v>
      </c>
      <c r="J152" s="5">
        <f ca="1">IFERROR(__xludf.DUMMYFUNCTION("""COMPUTED_VALUE"""),2)</f>
        <v>2</v>
      </c>
      <c r="K152" s="5">
        <f ca="1">IFERROR(__xludf.DUMMYFUNCTION("""COMPUTED_VALUE"""),1)</f>
        <v>1</v>
      </c>
      <c r="L152" s="5">
        <f ca="1">IFERROR(__xludf.DUMMYFUNCTION("""COMPUTED_VALUE"""),2)</f>
        <v>2</v>
      </c>
      <c r="M152">
        <f ca="1">IFERROR(__xludf.DUMMYFUNCTION("""COMPUTED_VALUE"""),8)</f>
        <v>8</v>
      </c>
      <c r="N152" s="8"/>
    </row>
    <row r="153" spans="1:14" ht="12.45" hidden="1">
      <c r="A153" t="str">
        <f ca="1">IFERROR(__xludf.DUMMYFUNCTION("""COMPUTED_VALUE"""),"V-3-485")</f>
        <v>V-3-485</v>
      </c>
      <c r="B153" t="str">
        <f ca="1">IFERROR(__xludf.DUMMYFUNCTION("""COMPUTED_VALUE"""),"Сложеникин")</f>
        <v>Сложеникин</v>
      </c>
      <c r="C153" t="str">
        <f ca="1">IFERROR(__xludf.DUMMYFUNCTION("""COMPUTED_VALUE"""),"Владислав")</f>
        <v>Владислав</v>
      </c>
      <c r="D153" t="str">
        <f ca="1">IFERROR(__xludf.DUMMYFUNCTION("""COMPUTED_VALUE"""),"Гимназия 343")</f>
        <v>Гимназия 343</v>
      </c>
      <c r="E153" s="5">
        <f ca="1">IFERROR(__xludf.DUMMYFUNCTION("""COMPUTED_VALUE"""),0)</f>
        <v>0</v>
      </c>
      <c r="F153" s="5">
        <f ca="1">IFERROR(__xludf.DUMMYFUNCTION("""COMPUTED_VALUE"""),5)</f>
        <v>5</v>
      </c>
      <c r="G153" s="5">
        <f ca="1">IFERROR(__xludf.DUMMYFUNCTION("""COMPUTED_VALUE"""),3)</f>
        <v>3</v>
      </c>
      <c r="H153" s="5">
        <f ca="1">IFERROR(__xludf.DUMMYFUNCTION("""COMPUTED_VALUE"""),0)</f>
        <v>0</v>
      </c>
      <c r="I153" s="5">
        <f ca="1">IFERROR(__xludf.DUMMYFUNCTION("""COMPUTED_VALUE"""),0)</f>
        <v>0</v>
      </c>
      <c r="J153" s="5">
        <f ca="1">IFERROR(__xludf.DUMMYFUNCTION("""COMPUTED_VALUE"""),0)</f>
        <v>0</v>
      </c>
      <c r="K153" s="5">
        <f ca="1">IFERROR(__xludf.DUMMYFUNCTION("""COMPUTED_VALUE"""),0)</f>
        <v>0</v>
      </c>
      <c r="L153" s="5">
        <f ca="1">IFERROR(__xludf.DUMMYFUNCTION("""COMPUTED_VALUE"""),0)</f>
        <v>0</v>
      </c>
      <c r="M153">
        <f ca="1">IFERROR(__xludf.DUMMYFUNCTION("""COMPUTED_VALUE"""),8)</f>
        <v>8</v>
      </c>
      <c r="N153" s="8"/>
    </row>
    <row r="154" spans="1:14" ht="12.45" hidden="1">
      <c r="A154" t="str">
        <f ca="1">IFERROR(__xludf.DUMMYFUNCTION("""COMPUTED_VALUE"""),"V-3-461")</f>
        <v>V-3-461</v>
      </c>
      <c r="B154" t="str">
        <f ca="1">IFERROR(__xludf.DUMMYFUNCTION("""COMPUTED_VALUE"""),"Сандевалль")</f>
        <v>Сандевалль</v>
      </c>
      <c r="C154" t="str">
        <f ca="1">IFERROR(__xludf.DUMMYFUNCTION("""COMPUTED_VALUE"""),"Анна")</f>
        <v>Анна</v>
      </c>
      <c r="D154" t="str">
        <f ca="1">IFERROR(__xludf.DUMMYFUNCTION("""COMPUTED_VALUE"""),"Гимназия 171")</f>
        <v>Гимназия 171</v>
      </c>
      <c r="E154" s="5">
        <f ca="1">IFERROR(__xludf.DUMMYFUNCTION("""COMPUTED_VALUE"""),1)</f>
        <v>1</v>
      </c>
      <c r="F154" s="5">
        <f ca="1">IFERROR(__xludf.DUMMYFUNCTION("""COMPUTED_VALUE"""),2)</f>
        <v>2</v>
      </c>
      <c r="G154" s="5">
        <f ca="1">IFERROR(__xludf.DUMMYFUNCTION("""COMPUTED_VALUE"""),2)</f>
        <v>2</v>
      </c>
      <c r="H154" s="5">
        <f ca="1">IFERROR(__xludf.DUMMYFUNCTION("""COMPUTED_VALUE"""),0)</f>
        <v>0</v>
      </c>
      <c r="I154" s="5">
        <f ca="1">IFERROR(__xludf.DUMMYFUNCTION("""COMPUTED_VALUE"""),0)</f>
        <v>0</v>
      </c>
      <c r="J154" s="5">
        <f ca="1">IFERROR(__xludf.DUMMYFUNCTION("""COMPUTED_VALUE"""),0)</f>
        <v>0</v>
      </c>
      <c r="K154" s="5">
        <f ca="1">IFERROR(__xludf.DUMMYFUNCTION("""COMPUTED_VALUE"""),1)</f>
        <v>1</v>
      </c>
      <c r="L154" s="5">
        <f ca="1">IFERROR(__xludf.DUMMYFUNCTION("""COMPUTED_VALUE"""),2)</f>
        <v>2</v>
      </c>
      <c r="M154">
        <f ca="1">IFERROR(__xludf.DUMMYFUNCTION("""COMPUTED_VALUE"""),8)</f>
        <v>8</v>
      </c>
      <c r="N154" s="8"/>
    </row>
    <row r="155" spans="1:14" ht="12.45" hidden="1">
      <c r="A155" t="str">
        <f ca="1">IFERROR(__xludf.DUMMYFUNCTION("""COMPUTED_VALUE"""),"III-3-047")</f>
        <v>III-3-047</v>
      </c>
      <c r="B155" t="str">
        <f ca="1">IFERROR(__xludf.DUMMYFUNCTION("""COMPUTED_VALUE"""),"Битлев")</f>
        <v>Битлев</v>
      </c>
      <c r="C155" t="str">
        <f ca="1">IFERROR(__xludf.DUMMYFUNCTION("""COMPUTED_VALUE"""),"Роберт")</f>
        <v>Роберт</v>
      </c>
      <c r="D155" t="str">
        <f ca="1">IFERROR(__xludf.DUMMYFUNCTION("""COMPUTED_VALUE"""),"Школа 533")</f>
        <v>Школа 533</v>
      </c>
      <c r="E155" s="5">
        <f ca="1">IFERROR(__xludf.DUMMYFUNCTION("""COMPUTED_VALUE"""),3)</f>
        <v>3</v>
      </c>
      <c r="F155" s="5">
        <f ca="1">IFERROR(__xludf.DUMMYFUNCTION("""COMPUTED_VALUE"""),0)</f>
        <v>0</v>
      </c>
      <c r="G155" s="5">
        <f ca="1">IFERROR(__xludf.DUMMYFUNCTION("""COMPUTED_VALUE"""),1)</f>
        <v>1</v>
      </c>
      <c r="H155" s="5">
        <f ca="1">IFERROR(__xludf.DUMMYFUNCTION("""COMPUTED_VALUE"""),0)</f>
        <v>0</v>
      </c>
      <c r="I155" s="5">
        <f ca="1">IFERROR(__xludf.DUMMYFUNCTION("""COMPUTED_VALUE"""),0)</f>
        <v>0</v>
      </c>
      <c r="J155" s="5">
        <f ca="1">IFERROR(__xludf.DUMMYFUNCTION("""COMPUTED_VALUE"""),0)</f>
        <v>0</v>
      </c>
      <c r="K155" s="5">
        <f ca="1">IFERROR(__xludf.DUMMYFUNCTION("""COMPUTED_VALUE"""),4)</f>
        <v>4</v>
      </c>
      <c r="L155" s="5">
        <f ca="1">IFERROR(__xludf.DUMMYFUNCTION("""COMPUTED_VALUE"""),0)</f>
        <v>0</v>
      </c>
      <c r="M155">
        <f ca="1">IFERROR(__xludf.DUMMYFUNCTION("""COMPUTED_VALUE"""),8)</f>
        <v>8</v>
      </c>
      <c r="N155" s="8"/>
    </row>
    <row r="156" spans="1:14" ht="12.45" hidden="1">
      <c r="A156" t="str">
        <f ca="1">IFERROR(__xludf.DUMMYFUNCTION("""COMPUTED_VALUE"""),"V-3-439")</f>
        <v>V-3-439</v>
      </c>
      <c r="B156" t="str">
        <f ca="1">IFERROR(__xludf.DUMMYFUNCTION("""COMPUTED_VALUE"""),"Романов")</f>
        <v>Романов</v>
      </c>
      <c r="C156" t="str">
        <f ca="1">IFERROR(__xludf.DUMMYFUNCTION("""COMPUTED_VALUE"""),"Алексей")</f>
        <v>Алексей</v>
      </c>
      <c r="D156" t="str">
        <f ca="1">IFERROR(__xludf.DUMMYFUNCTION("""COMPUTED_VALUE"""),"Школа 328")</f>
        <v>Школа 328</v>
      </c>
      <c r="E156" s="5">
        <f ca="1">IFERROR(__xludf.DUMMYFUNCTION("""COMPUTED_VALUE"""),0)</f>
        <v>0</v>
      </c>
      <c r="F156" s="5">
        <f ca="1">IFERROR(__xludf.DUMMYFUNCTION("""COMPUTED_VALUE"""),1)</f>
        <v>1</v>
      </c>
      <c r="G156" s="5">
        <f ca="1">IFERROR(__xludf.DUMMYFUNCTION("""COMPUTED_VALUE"""),1)</f>
        <v>1</v>
      </c>
      <c r="H156" s="5">
        <f ca="1">IFERROR(__xludf.DUMMYFUNCTION("""COMPUTED_VALUE"""),0)</f>
        <v>0</v>
      </c>
      <c r="I156" s="5">
        <f ca="1">IFERROR(__xludf.DUMMYFUNCTION("""COMPUTED_VALUE"""),5)</f>
        <v>5</v>
      </c>
      <c r="J156" s="5">
        <f ca="1">IFERROR(__xludf.DUMMYFUNCTION("""COMPUTED_VALUE"""),0)</f>
        <v>0</v>
      </c>
      <c r="K156" s="5">
        <f ca="1">IFERROR(__xludf.DUMMYFUNCTION("""COMPUTED_VALUE"""),0)</f>
        <v>0</v>
      </c>
      <c r="L156" s="5">
        <f ca="1">IFERROR(__xludf.DUMMYFUNCTION("""COMPUTED_VALUE"""),0)</f>
        <v>0</v>
      </c>
      <c r="M156">
        <f ca="1">IFERROR(__xludf.DUMMYFUNCTION("""COMPUTED_VALUE"""),7)</f>
        <v>7</v>
      </c>
      <c r="N156" s="8"/>
    </row>
    <row r="157" spans="1:14" ht="12.45" hidden="1">
      <c r="A157" t="str">
        <f ca="1">IFERROR(__xludf.DUMMYFUNCTION("""COMPUTED_VALUE"""),"III-3-253")</f>
        <v>III-3-253</v>
      </c>
      <c r="B157" t="str">
        <f ca="1">IFERROR(__xludf.DUMMYFUNCTION("""COMPUTED_VALUE"""),"Кудряшов")</f>
        <v>Кудряшов</v>
      </c>
      <c r="C157" t="str">
        <f ca="1">IFERROR(__xludf.DUMMYFUNCTION("""COMPUTED_VALUE"""),"Михаил")</f>
        <v>Михаил</v>
      </c>
      <c r="D157" t="str">
        <f ca="1">IFERROR(__xludf.DUMMYFUNCTION("""COMPUTED_VALUE"""),"Лицей 344")</f>
        <v>Лицей 344</v>
      </c>
      <c r="E157" s="5">
        <f ca="1">IFERROR(__xludf.DUMMYFUNCTION("""COMPUTED_VALUE"""),2)</f>
        <v>2</v>
      </c>
      <c r="F157" s="5">
        <f ca="1">IFERROR(__xludf.DUMMYFUNCTION("""COMPUTED_VALUE"""),0)</f>
        <v>0</v>
      </c>
      <c r="G157" s="5">
        <f ca="1">IFERROR(__xludf.DUMMYFUNCTION("""COMPUTED_VALUE"""),0)</f>
        <v>0</v>
      </c>
      <c r="H157" s="5">
        <f ca="1">IFERROR(__xludf.DUMMYFUNCTION("""COMPUTED_VALUE"""),0)</f>
        <v>0</v>
      </c>
      <c r="I157" s="5">
        <f ca="1">IFERROR(__xludf.DUMMYFUNCTION("""COMPUTED_VALUE"""),3)</f>
        <v>3</v>
      </c>
      <c r="J157" s="5">
        <f ca="1">IFERROR(__xludf.DUMMYFUNCTION("""COMPUTED_VALUE"""),0)</f>
        <v>0</v>
      </c>
      <c r="K157" s="5">
        <f ca="1">IFERROR(__xludf.DUMMYFUNCTION("""COMPUTED_VALUE"""),2)</f>
        <v>2</v>
      </c>
      <c r="L157" s="5">
        <f ca="1">IFERROR(__xludf.DUMMYFUNCTION("""COMPUTED_VALUE"""),0)</f>
        <v>0</v>
      </c>
      <c r="M157">
        <f ca="1">IFERROR(__xludf.DUMMYFUNCTION("""COMPUTED_VALUE"""),7)</f>
        <v>7</v>
      </c>
      <c r="N157" s="8"/>
    </row>
    <row r="158" spans="1:14" ht="12.45" hidden="1">
      <c r="A158" t="str">
        <f ca="1">IFERROR(__xludf.DUMMYFUNCTION("""COMPUTED_VALUE"""),"V-3-427")</f>
        <v>V-3-427</v>
      </c>
      <c r="B158" t="str">
        <f ca="1">IFERROR(__xludf.DUMMYFUNCTION("""COMPUTED_VALUE"""),"Пронин")</f>
        <v>Пронин</v>
      </c>
      <c r="C158" t="str">
        <f ca="1">IFERROR(__xludf.DUMMYFUNCTION("""COMPUTED_VALUE"""),"Никита")</f>
        <v>Никита</v>
      </c>
      <c r="D158" t="str">
        <f ca="1">IFERROR(__xludf.DUMMYFUNCTION("""COMPUTED_VALUE"""),"Школа 365")</f>
        <v>Школа 365</v>
      </c>
      <c r="E158" s="5">
        <f ca="1">IFERROR(__xludf.DUMMYFUNCTION("""COMPUTED_VALUE"""),0)</f>
        <v>0</v>
      </c>
      <c r="F158" s="5">
        <f ca="1">IFERROR(__xludf.DUMMYFUNCTION("""COMPUTED_VALUE"""),0)</f>
        <v>0</v>
      </c>
      <c r="G158" s="5">
        <f ca="1">IFERROR(__xludf.DUMMYFUNCTION("""COMPUTED_VALUE"""),2)</f>
        <v>2</v>
      </c>
      <c r="H158" s="5">
        <f ca="1">IFERROR(__xludf.DUMMYFUNCTION("""COMPUTED_VALUE"""),0)</f>
        <v>0</v>
      </c>
      <c r="I158" s="5">
        <f ca="1">IFERROR(__xludf.DUMMYFUNCTION("""COMPUTED_VALUE"""),2)</f>
        <v>2</v>
      </c>
      <c r="J158" s="5">
        <f ca="1">IFERROR(__xludf.DUMMYFUNCTION("""COMPUTED_VALUE"""),1)</f>
        <v>1</v>
      </c>
      <c r="K158" s="5">
        <f ca="1">IFERROR(__xludf.DUMMYFUNCTION("""COMPUTED_VALUE"""),2)</f>
        <v>2</v>
      </c>
      <c r="L158" s="5">
        <f ca="1">IFERROR(__xludf.DUMMYFUNCTION("""COMPUTED_VALUE"""),0)</f>
        <v>0</v>
      </c>
      <c r="M158">
        <f ca="1">IFERROR(__xludf.DUMMYFUNCTION("""COMPUTED_VALUE"""),7)</f>
        <v>7</v>
      </c>
      <c r="N158" s="8"/>
    </row>
    <row r="159" spans="1:14" ht="12.45" hidden="1">
      <c r="A159" t="str">
        <f ca="1">IFERROR(__xludf.DUMMYFUNCTION("""COMPUTED_VALUE"""),"III-3-091")</f>
        <v>III-3-091</v>
      </c>
      <c r="B159" t="str">
        <f ca="1">IFERROR(__xludf.DUMMYFUNCTION("""COMPUTED_VALUE"""),"Вощиков")</f>
        <v>Вощиков</v>
      </c>
      <c r="C159" t="str">
        <f ca="1">IFERROR(__xludf.DUMMYFUNCTION("""COMPUTED_VALUE"""),"Арсений")</f>
        <v>Арсений</v>
      </c>
      <c r="D159" t="str">
        <f ca="1">IFERROR(__xludf.DUMMYFUNCTION("""COMPUTED_VALUE"""),"Школа 595")</f>
        <v>Школа 595</v>
      </c>
      <c r="E159" s="5">
        <f ca="1">IFERROR(__xludf.DUMMYFUNCTION("""COMPUTED_VALUE"""),3)</f>
        <v>3</v>
      </c>
      <c r="F159" s="5">
        <f ca="1">IFERROR(__xludf.DUMMYFUNCTION("""COMPUTED_VALUE"""),0)</f>
        <v>0</v>
      </c>
      <c r="G159" s="5">
        <f ca="1">IFERROR(__xludf.DUMMYFUNCTION("""COMPUTED_VALUE"""),1)</f>
        <v>1</v>
      </c>
      <c r="H159" s="5">
        <f ca="1">IFERROR(__xludf.DUMMYFUNCTION("""COMPUTED_VALUE"""),0)</f>
        <v>0</v>
      </c>
      <c r="I159" s="5">
        <f ca="1">IFERROR(__xludf.DUMMYFUNCTION("""COMPUTED_VALUE"""),2)</f>
        <v>2</v>
      </c>
      <c r="J159" s="5">
        <f ca="1">IFERROR(__xludf.DUMMYFUNCTION("""COMPUTED_VALUE"""),0)</f>
        <v>0</v>
      </c>
      <c r="K159" s="5">
        <f ca="1">IFERROR(__xludf.DUMMYFUNCTION("""COMPUTED_VALUE"""),1)</f>
        <v>1</v>
      </c>
      <c r="L159" s="5">
        <f ca="1">IFERROR(__xludf.DUMMYFUNCTION("""COMPUTED_VALUE"""),0)</f>
        <v>0</v>
      </c>
      <c r="M159">
        <f ca="1">IFERROR(__xludf.DUMMYFUNCTION("""COMPUTED_VALUE"""),7)</f>
        <v>7</v>
      </c>
      <c r="N159" s="8"/>
    </row>
    <row r="160" spans="1:14" ht="12.45" hidden="1">
      <c r="A160" t="str">
        <f ca="1">IFERROR(__xludf.DUMMYFUNCTION("""COMPUTED_VALUE"""),"III-3-143")</f>
        <v>III-3-143</v>
      </c>
      <c r="B160" t="str">
        <f ca="1">IFERROR(__xludf.DUMMYFUNCTION("""COMPUTED_VALUE"""),"Ефимов")</f>
        <v>Ефимов</v>
      </c>
      <c r="C160" t="str">
        <f ca="1">IFERROR(__xludf.DUMMYFUNCTION("""COMPUTED_VALUE"""),"Петр")</f>
        <v>Петр</v>
      </c>
      <c r="D160" t="str">
        <f ca="1">IFERROR(__xludf.DUMMYFUNCTION("""COMPUTED_VALUE"""),"Гимназия 631")</f>
        <v>Гимназия 631</v>
      </c>
      <c r="E160" s="5">
        <f ca="1">IFERROR(__xludf.DUMMYFUNCTION("""COMPUTED_VALUE"""),1)</f>
        <v>1</v>
      </c>
      <c r="F160" s="5">
        <f ca="1">IFERROR(__xludf.DUMMYFUNCTION("""COMPUTED_VALUE"""),2)</f>
        <v>2</v>
      </c>
      <c r="G160" s="5">
        <f ca="1">IFERROR(__xludf.DUMMYFUNCTION("""COMPUTED_VALUE"""),1)</f>
        <v>1</v>
      </c>
      <c r="H160" s="5">
        <f ca="1">IFERROR(__xludf.DUMMYFUNCTION("""COMPUTED_VALUE"""),0)</f>
        <v>0</v>
      </c>
      <c r="I160" s="5">
        <f ca="1">IFERROR(__xludf.DUMMYFUNCTION("""COMPUTED_VALUE"""),2)</f>
        <v>2</v>
      </c>
      <c r="J160" s="5">
        <f ca="1">IFERROR(__xludf.DUMMYFUNCTION("""COMPUTED_VALUE"""),0)</f>
        <v>0</v>
      </c>
      <c r="K160" s="5">
        <f ca="1">IFERROR(__xludf.DUMMYFUNCTION("""COMPUTED_VALUE"""),0)</f>
        <v>0</v>
      </c>
      <c r="L160" s="5">
        <f ca="1">IFERROR(__xludf.DUMMYFUNCTION("""COMPUTED_VALUE"""),1)</f>
        <v>1</v>
      </c>
      <c r="M160">
        <f ca="1">IFERROR(__xludf.DUMMYFUNCTION("""COMPUTED_VALUE"""),7)</f>
        <v>7</v>
      </c>
      <c r="N160" s="8"/>
    </row>
    <row r="161" spans="1:14" ht="12.45" hidden="1">
      <c r="A161" t="str">
        <f ca="1">IFERROR(__xludf.DUMMYFUNCTION("""COMPUTED_VALUE"""),"V-3-369")</f>
        <v>V-3-369</v>
      </c>
      <c r="B161" t="str">
        <f ca="1">IFERROR(__xludf.DUMMYFUNCTION("""COMPUTED_VALUE"""),"Никонорова")</f>
        <v>Никонорова</v>
      </c>
      <c r="C161" t="str">
        <f ca="1">IFERROR(__xludf.DUMMYFUNCTION("""COMPUTED_VALUE"""),"Екатерина")</f>
        <v>Екатерина</v>
      </c>
      <c r="D161" t="str">
        <f ca="1">IFERROR(__xludf.DUMMYFUNCTION("""COMPUTED_VALUE"""),"Гимназия 524")</f>
        <v>Гимназия 524</v>
      </c>
      <c r="E161" s="5">
        <f ca="1">IFERROR(__xludf.DUMMYFUNCTION("""COMPUTED_VALUE"""),0)</f>
        <v>0</v>
      </c>
      <c r="F161" s="5">
        <f ca="1">IFERROR(__xludf.DUMMYFUNCTION("""COMPUTED_VALUE"""),1)</f>
        <v>1</v>
      </c>
      <c r="G161" s="5">
        <f ca="1">IFERROR(__xludf.DUMMYFUNCTION("""COMPUTED_VALUE"""),1)</f>
        <v>1</v>
      </c>
      <c r="H161" s="5">
        <f ca="1">IFERROR(__xludf.DUMMYFUNCTION("""COMPUTED_VALUE"""),0)</f>
        <v>0</v>
      </c>
      <c r="I161" s="5">
        <f ca="1">IFERROR(__xludf.DUMMYFUNCTION("""COMPUTED_VALUE"""),2)</f>
        <v>2</v>
      </c>
      <c r="J161" s="5">
        <f ca="1">IFERROR(__xludf.DUMMYFUNCTION("""COMPUTED_VALUE"""),0)</f>
        <v>0</v>
      </c>
      <c r="K161" s="5">
        <f ca="1">IFERROR(__xludf.DUMMYFUNCTION("""COMPUTED_VALUE"""),2)</f>
        <v>2</v>
      </c>
      <c r="L161" s="5">
        <f ca="1">IFERROR(__xludf.DUMMYFUNCTION("""COMPUTED_VALUE"""),1)</f>
        <v>1</v>
      </c>
      <c r="M161">
        <f ca="1">IFERROR(__xludf.DUMMYFUNCTION("""COMPUTED_VALUE"""),7)</f>
        <v>7</v>
      </c>
      <c r="N161" s="8"/>
    </row>
    <row r="162" spans="1:14" ht="12.45" hidden="1">
      <c r="A162" t="str">
        <f ca="1">IFERROR(__xludf.DUMMYFUNCTION("""COMPUTED_VALUE"""),"III-3-063")</f>
        <v>III-3-063</v>
      </c>
      <c r="B162" t="str">
        <f ca="1">IFERROR(__xludf.DUMMYFUNCTION("""COMPUTED_VALUE"""),"Бумакова")</f>
        <v>Бумакова</v>
      </c>
      <c r="C162" t="str">
        <f ca="1">IFERROR(__xludf.DUMMYFUNCTION("""COMPUTED_VALUE"""),"Ника")</f>
        <v>Ника</v>
      </c>
      <c r="D162" t="str">
        <f ca="1">IFERROR(__xludf.DUMMYFUNCTION("""COMPUTED_VALUE"""),"Гимназия 642 Земля и Вселенная")</f>
        <v>Гимназия 642 Земля и Вселенная</v>
      </c>
      <c r="E162" s="5">
        <f ca="1">IFERROR(__xludf.DUMMYFUNCTION("""COMPUTED_VALUE"""),1)</f>
        <v>1</v>
      </c>
      <c r="F162" s="5">
        <f ca="1">IFERROR(__xludf.DUMMYFUNCTION("""COMPUTED_VALUE"""),1)</f>
        <v>1</v>
      </c>
      <c r="G162" s="5">
        <f ca="1">IFERROR(__xludf.DUMMYFUNCTION("""COMPUTED_VALUE"""),1)</f>
        <v>1</v>
      </c>
      <c r="H162" s="5">
        <f ca="1">IFERROR(__xludf.DUMMYFUNCTION("""COMPUTED_VALUE"""),0)</f>
        <v>0</v>
      </c>
      <c r="I162" s="5">
        <f ca="1">IFERROR(__xludf.DUMMYFUNCTION("""COMPUTED_VALUE"""),2)</f>
        <v>2</v>
      </c>
      <c r="J162" s="5">
        <f ca="1">IFERROR(__xludf.DUMMYFUNCTION("""COMPUTED_VALUE"""),0)</f>
        <v>0</v>
      </c>
      <c r="K162" s="5">
        <f ca="1">IFERROR(__xludf.DUMMYFUNCTION("""COMPUTED_VALUE"""),2)</f>
        <v>2</v>
      </c>
      <c r="L162" s="5">
        <f ca="1">IFERROR(__xludf.DUMMYFUNCTION("""COMPUTED_VALUE"""),0)</f>
        <v>0</v>
      </c>
      <c r="M162">
        <f ca="1">IFERROR(__xludf.DUMMYFUNCTION("""COMPUTED_VALUE"""),7)</f>
        <v>7</v>
      </c>
      <c r="N162" s="8"/>
    </row>
    <row r="163" spans="1:14" ht="12.45" hidden="1">
      <c r="A163" t="str">
        <f ca="1">IFERROR(__xludf.DUMMYFUNCTION("""COMPUTED_VALUE"""),"III-3-165")</f>
        <v>III-3-165</v>
      </c>
      <c r="B163" t="str">
        <f ca="1">IFERROR(__xludf.DUMMYFUNCTION("""COMPUTED_VALUE"""),"Зивьев")</f>
        <v>Зивьев</v>
      </c>
      <c r="C163" t="str">
        <f ca="1">IFERROR(__xludf.DUMMYFUNCTION("""COMPUTED_VALUE"""),"Иван")</f>
        <v>Иван</v>
      </c>
      <c r="D163" t="str">
        <f ca="1">IFERROR(__xludf.DUMMYFUNCTION("""COMPUTED_VALUE"""),"Гимназия 642 Земля и Вселенная")</f>
        <v>Гимназия 642 Земля и Вселенная</v>
      </c>
      <c r="E163" s="5">
        <f ca="1">IFERROR(__xludf.DUMMYFUNCTION("""COMPUTED_VALUE"""),1)</f>
        <v>1</v>
      </c>
      <c r="F163" s="5">
        <f ca="1">IFERROR(__xludf.DUMMYFUNCTION("""COMPUTED_VALUE"""),2)</f>
        <v>2</v>
      </c>
      <c r="G163" s="5">
        <f ca="1">IFERROR(__xludf.DUMMYFUNCTION("""COMPUTED_VALUE"""),1)</f>
        <v>1</v>
      </c>
      <c r="H163" s="5">
        <f ca="1">IFERROR(__xludf.DUMMYFUNCTION("""COMPUTED_VALUE"""),0)</f>
        <v>0</v>
      </c>
      <c r="I163" s="5">
        <f ca="1">IFERROR(__xludf.DUMMYFUNCTION("""COMPUTED_VALUE"""),2)</f>
        <v>2</v>
      </c>
      <c r="J163" s="5">
        <f ca="1">IFERROR(__xludf.DUMMYFUNCTION("""COMPUTED_VALUE"""),0)</f>
        <v>0</v>
      </c>
      <c r="K163" s="5">
        <f ca="1">IFERROR(__xludf.DUMMYFUNCTION("""COMPUTED_VALUE"""),0)</f>
        <v>0</v>
      </c>
      <c r="L163" s="5">
        <f ca="1">IFERROR(__xludf.DUMMYFUNCTION("""COMPUTED_VALUE"""),1)</f>
        <v>1</v>
      </c>
      <c r="M163">
        <f ca="1">IFERROR(__xludf.DUMMYFUNCTION("""COMPUTED_VALUE"""),7)</f>
        <v>7</v>
      </c>
      <c r="N163" s="8"/>
    </row>
    <row r="164" spans="1:14" ht="12.45" hidden="1">
      <c r="A164" t="str">
        <f ca="1">IFERROR(__xludf.DUMMYFUNCTION("""COMPUTED_VALUE"""),"III-3-299")</f>
        <v>III-3-299</v>
      </c>
      <c r="B164" t="str">
        <f ca="1">IFERROR(__xludf.DUMMYFUNCTION("""COMPUTED_VALUE"""),"Луговой")</f>
        <v>Луговой</v>
      </c>
      <c r="C164" t="str">
        <f ca="1">IFERROR(__xludf.DUMMYFUNCTION("""COMPUTED_VALUE"""),"Егор")</f>
        <v>Егор</v>
      </c>
      <c r="D164" t="str">
        <f ca="1">IFERROR(__xludf.DUMMYFUNCTION("""COMPUTED_VALUE"""),"Лицей 344")</f>
        <v>Лицей 344</v>
      </c>
      <c r="E164" s="5">
        <f ca="1">IFERROR(__xludf.DUMMYFUNCTION("""COMPUTED_VALUE"""),1)</f>
        <v>1</v>
      </c>
      <c r="F164" s="5">
        <f ca="1">IFERROR(__xludf.DUMMYFUNCTION("""COMPUTED_VALUE"""),1)</f>
        <v>1</v>
      </c>
      <c r="G164" s="5">
        <f ca="1">IFERROR(__xludf.DUMMYFUNCTION("""COMPUTED_VALUE"""),3)</f>
        <v>3</v>
      </c>
      <c r="H164" s="5">
        <f ca="1">IFERROR(__xludf.DUMMYFUNCTION("""COMPUTED_VALUE"""),0)</f>
        <v>0</v>
      </c>
      <c r="I164" s="5">
        <f ca="1">IFERROR(__xludf.DUMMYFUNCTION("""COMPUTED_VALUE"""),2)</f>
        <v>2</v>
      </c>
      <c r="J164" s="5">
        <f ca="1">IFERROR(__xludf.DUMMYFUNCTION("""COMPUTED_VALUE"""),0)</f>
        <v>0</v>
      </c>
      <c r="K164" s="5">
        <f ca="1">IFERROR(__xludf.DUMMYFUNCTION("""COMPUTED_VALUE"""),0)</f>
        <v>0</v>
      </c>
      <c r="L164" s="5">
        <f ca="1">IFERROR(__xludf.DUMMYFUNCTION("""COMPUTED_VALUE"""),0)</f>
        <v>0</v>
      </c>
      <c r="M164">
        <f ca="1">IFERROR(__xludf.DUMMYFUNCTION("""COMPUTED_VALUE"""),7)</f>
        <v>7</v>
      </c>
      <c r="N164" s="8"/>
    </row>
    <row r="165" spans="1:14" ht="12.45" hidden="1">
      <c r="A165" t="str">
        <f ca="1">IFERROR(__xludf.DUMMYFUNCTION("""COMPUTED_VALUE"""),"III-3-069")</f>
        <v>III-3-069</v>
      </c>
      <c r="B165" t="str">
        <f ca="1">IFERROR(__xludf.DUMMYFUNCTION("""COMPUTED_VALUE"""),"Вавелюк")</f>
        <v>Вавелюк</v>
      </c>
      <c r="C165" t="str">
        <f ca="1">IFERROR(__xludf.DUMMYFUNCTION("""COMPUTED_VALUE"""),"Максим")</f>
        <v>Максим</v>
      </c>
      <c r="D165" t="str">
        <f ca="1">IFERROR(__xludf.DUMMYFUNCTION("""COMPUTED_VALUE"""),"Школа 300")</f>
        <v>Школа 300</v>
      </c>
      <c r="E165" s="5">
        <f ca="1">IFERROR(__xludf.DUMMYFUNCTION("""COMPUTED_VALUE"""),1)</f>
        <v>1</v>
      </c>
      <c r="F165" s="5">
        <f ca="1">IFERROR(__xludf.DUMMYFUNCTION("""COMPUTED_VALUE"""),2)</f>
        <v>2</v>
      </c>
      <c r="G165" s="5">
        <f ca="1">IFERROR(__xludf.DUMMYFUNCTION("""COMPUTED_VALUE"""),1)</f>
        <v>1</v>
      </c>
      <c r="H165" s="5">
        <f ca="1">IFERROR(__xludf.DUMMYFUNCTION("""COMPUTED_VALUE"""),0)</f>
        <v>0</v>
      </c>
      <c r="I165" s="5">
        <f ca="1">IFERROR(__xludf.DUMMYFUNCTION("""COMPUTED_VALUE"""),2)</f>
        <v>2</v>
      </c>
      <c r="J165" s="5">
        <f ca="1">IFERROR(__xludf.DUMMYFUNCTION("""COMPUTED_VALUE"""),0)</f>
        <v>0</v>
      </c>
      <c r="K165" s="5">
        <f ca="1">IFERROR(__xludf.DUMMYFUNCTION("""COMPUTED_VALUE"""),1)</f>
        <v>1</v>
      </c>
      <c r="L165" s="5">
        <f ca="1">IFERROR(__xludf.DUMMYFUNCTION("""COMPUTED_VALUE"""),0)</f>
        <v>0</v>
      </c>
      <c r="M165">
        <f ca="1">IFERROR(__xludf.DUMMYFUNCTION("""COMPUTED_VALUE"""),7)</f>
        <v>7</v>
      </c>
      <c r="N165" s="8"/>
    </row>
    <row r="166" spans="1:14" ht="12.45" hidden="1">
      <c r="A166" t="str">
        <f ca="1">IFERROR(__xludf.DUMMYFUNCTION("""COMPUTED_VALUE"""),"V-3-581")</f>
        <v>V-3-581</v>
      </c>
      <c r="B166" t="str">
        <f ca="1">IFERROR(__xludf.DUMMYFUNCTION("""COMPUTED_VALUE"""),"Шерстнев")</f>
        <v>Шерстнев</v>
      </c>
      <c r="C166" t="str">
        <f ca="1">IFERROR(__xludf.DUMMYFUNCTION("""COMPUTED_VALUE"""),"Никита")</f>
        <v>Никита</v>
      </c>
      <c r="D166" t="str">
        <f ca="1">IFERROR(__xludf.DUMMYFUNCTION("""COMPUTED_VALUE"""),"Гимназия Академическая Гимназия N56")</f>
        <v>Гимназия Академическая Гимназия N56</v>
      </c>
      <c r="E166" s="5">
        <f ca="1">IFERROR(__xludf.DUMMYFUNCTION("""COMPUTED_VALUE"""),1)</f>
        <v>1</v>
      </c>
      <c r="F166" s="5">
        <f ca="1">IFERROR(__xludf.DUMMYFUNCTION("""COMPUTED_VALUE"""),0)</f>
        <v>0</v>
      </c>
      <c r="G166" s="5">
        <f ca="1">IFERROR(__xludf.DUMMYFUNCTION("""COMPUTED_VALUE"""),1)</f>
        <v>1</v>
      </c>
      <c r="H166" s="5">
        <f ca="1">IFERROR(__xludf.DUMMYFUNCTION("""COMPUTED_VALUE"""),0)</f>
        <v>0</v>
      </c>
      <c r="I166" s="5">
        <f ca="1">IFERROR(__xludf.DUMMYFUNCTION("""COMPUTED_VALUE"""),2)</f>
        <v>2</v>
      </c>
      <c r="J166" s="5">
        <f ca="1">IFERROR(__xludf.DUMMYFUNCTION("""COMPUTED_VALUE"""),1)</f>
        <v>1</v>
      </c>
      <c r="K166" s="5">
        <f ca="1">IFERROR(__xludf.DUMMYFUNCTION("""COMPUTED_VALUE"""),1)</f>
        <v>1</v>
      </c>
      <c r="L166" s="5">
        <f ca="1">IFERROR(__xludf.DUMMYFUNCTION("""COMPUTED_VALUE"""),1)</f>
        <v>1</v>
      </c>
      <c r="M166">
        <f ca="1">IFERROR(__xludf.DUMMYFUNCTION("""COMPUTED_VALUE"""),7)</f>
        <v>7</v>
      </c>
      <c r="N166" s="8"/>
    </row>
    <row r="167" spans="1:14" ht="12.45" hidden="1">
      <c r="A167" t="str">
        <f ca="1">IFERROR(__xludf.DUMMYFUNCTION("""COMPUTED_VALUE"""),"V-3-423")</f>
        <v>V-3-423</v>
      </c>
      <c r="B167" t="str">
        <f ca="1">IFERROR(__xludf.DUMMYFUNCTION("""COMPUTED_VALUE"""),"Потеминский")</f>
        <v>Потеминский</v>
      </c>
      <c r="C167" t="str">
        <f ca="1">IFERROR(__xludf.DUMMYFUNCTION("""COMPUTED_VALUE"""),"Андрей")</f>
        <v>Андрей</v>
      </c>
      <c r="D167" t="str">
        <f ca="1">IFERROR(__xludf.DUMMYFUNCTION("""COMPUTED_VALUE"""),"Лицей 393")</f>
        <v>Лицей 393</v>
      </c>
      <c r="E167" s="5">
        <f ca="1">IFERROR(__xludf.DUMMYFUNCTION("""COMPUTED_VALUE"""),1)</f>
        <v>1</v>
      </c>
      <c r="F167" s="5">
        <f ca="1">IFERROR(__xludf.DUMMYFUNCTION("""COMPUTED_VALUE"""),2)</f>
        <v>2</v>
      </c>
      <c r="G167" s="5">
        <f ca="1">IFERROR(__xludf.DUMMYFUNCTION("""COMPUTED_VALUE"""),0)</f>
        <v>0</v>
      </c>
      <c r="H167" s="5">
        <f ca="1">IFERROR(__xludf.DUMMYFUNCTION("""COMPUTED_VALUE"""),2)</f>
        <v>2</v>
      </c>
      <c r="I167" s="5">
        <f ca="1">IFERROR(__xludf.DUMMYFUNCTION("""COMPUTED_VALUE"""),2)</f>
        <v>2</v>
      </c>
      <c r="J167" s="5">
        <f ca="1">IFERROR(__xludf.DUMMYFUNCTION("""COMPUTED_VALUE"""),0)</f>
        <v>0</v>
      </c>
      <c r="K167" s="5">
        <f ca="1">IFERROR(__xludf.DUMMYFUNCTION("""COMPUTED_VALUE"""),0)</f>
        <v>0</v>
      </c>
      <c r="L167" s="5">
        <f ca="1">IFERROR(__xludf.DUMMYFUNCTION("""COMPUTED_VALUE"""),0)</f>
        <v>0</v>
      </c>
      <c r="M167">
        <f ca="1">IFERROR(__xludf.DUMMYFUNCTION("""COMPUTED_VALUE"""),7)</f>
        <v>7</v>
      </c>
      <c r="N167" s="8"/>
    </row>
    <row r="168" spans="1:14" ht="12.45" hidden="1">
      <c r="A168" t="str">
        <f ca="1">IFERROR(__xludf.DUMMYFUNCTION("""COMPUTED_VALUE"""),"V-3-451")</f>
        <v>V-3-451</v>
      </c>
      <c r="B168" t="str">
        <f ca="1">IFERROR(__xludf.DUMMYFUNCTION("""COMPUTED_VALUE"""),"Рыбакова")</f>
        <v>Рыбакова</v>
      </c>
      <c r="C168" t="str">
        <f ca="1">IFERROR(__xludf.DUMMYFUNCTION("""COMPUTED_VALUE"""),"Евгения")</f>
        <v>Евгения</v>
      </c>
      <c r="D168" t="str">
        <f ca="1">IFERROR(__xludf.DUMMYFUNCTION("""COMPUTED_VALUE"""),"Лицей 344")</f>
        <v>Лицей 344</v>
      </c>
      <c r="E168" s="5">
        <f ca="1">IFERROR(__xludf.DUMMYFUNCTION("""COMPUTED_VALUE"""),0)</f>
        <v>0</v>
      </c>
      <c r="F168" s="5">
        <f ca="1">IFERROR(__xludf.DUMMYFUNCTION("""COMPUTED_VALUE"""),0)</f>
        <v>0</v>
      </c>
      <c r="G168" s="5">
        <f ca="1">IFERROR(__xludf.DUMMYFUNCTION("""COMPUTED_VALUE"""),2)</f>
        <v>2</v>
      </c>
      <c r="H168" s="5">
        <f ca="1">IFERROR(__xludf.DUMMYFUNCTION("""COMPUTED_VALUE"""),0)</f>
        <v>0</v>
      </c>
      <c r="I168" s="5">
        <f ca="1">IFERROR(__xludf.DUMMYFUNCTION("""COMPUTED_VALUE"""),2)</f>
        <v>2</v>
      </c>
      <c r="J168" s="5">
        <f ca="1">IFERROR(__xludf.DUMMYFUNCTION("""COMPUTED_VALUE"""),1)</f>
        <v>1</v>
      </c>
      <c r="K168" s="5">
        <f ca="1">IFERROR(__xludf.DUMMYFUNCTION("""COMPUTED_VALUE"""),2)</f>
        <v>2</v>
      </c>
      <c r="L168" s="5">
        <f ca="1">IFERROR(__xludf.DUMMYFUNCTION("""COMPUTED_VALUE"""),0)</f>
        <v>0</v>
      </c>
      <c r="M168">
        <f ca="1">IFERROR(__xludf.DUMMYFUNCTION("""COMPUTED_VALUE"""),7)</f>
        <v>7</v>
      </c>
      <c r="N168" s="8"/>
    </row>
    <row r="169" spans="1:14" ht="12.45" hidden="1">
      <c r="A169" t="str">
        <f ca="1">IFERROR(__xludf.DUMMYFUNCTION("""COMPUTED_VALUE"""),"V-3-412")</f>
        <v>V-3-412</v>
      </c>
      <c r="B169" t="str">
        <f ca="1">IFERROR(__xludf.DUMMYFUNCTION("""COMPUTED_VALUE"""),"Поддубский")</f>
        <v>Поддубский</v>
      </c>
      <c r="C169" t="str">
        <f ca="1">IFERROR(__xludf.DUMMYFUNCTION("""COMPUTED_VALUE"""),"Богдан")</f>
        <v>Богдан</v>
      </c>
      <c r="D169" t="str">
        <f ca="1">IFERROR(__xludf.DUMMYFUNCTION("""COMPUTED_VALUE"""),"Лицей 470")</f>
        <v>Лицей 470</v>
      </c>
      <c r="E169" s="5">
        <f ca="1">IFERROR(__xludf.DUMMYFUNCTION("""COMPUTED_VALUE"""),0)</f>
        <v>0</v>
      </c>
      <c r="F169" s="5">
        <f ca="1">IFERROR(__xludf.DUMMYFUNCTION("""COMPUTED_VALUE"""),2)</f>
        <v>2</v>
      </c>
      <c r="G169" s="5">
        <f ca="1">IFERROR(__xludf.DUMMYFUNCTION("""COMPUTED_VALUE"""),3)</f>
        <v>3</v>
      </c>
      <c r="H169" s="5">
        <f ca="1">IFERROR(__xludf.DUMMYFUNCTION("""COMPUTED_VALUE"""),0)</f>
        <v>0</v>
      </c>
      <c r="I169" s="5">
        <f ca="1">IFERROR(__xludf.DUMMYFUNCTION("""COMPUTED_VALUE"""),2)</f>
        <v>2</v>
      </c>
      <c r="J169" s="5">
        <f ca="1">IFERROR(__xludf.DUMMYFUNCTION("""COMPUTED_VALUE"""),0)</f>
        <v>0</v>
      </c>
      <c r="K169" s="5">
        <f ca="1">IFERROR(__xludf.DUMMYFUNCTION("""COMPUTED_VALUE"""),0)</f>
        <v>0</v>
      </c>
      <c r="L169" s="5">
        <f ca="1">IFERROR(__xludf.DUMMYFUNCTION("""COMPUTED_VALUE"""),0)</f>
        <v>0</v>
      </c>
      <c r="M169">
        <f ca="1">IFERROR(__xludf.DUMMYFUNCTION("""COMPUTED_VALUE"""),7)</f>
        <v>7</v>
      </c>
      <c r="N169" s="8"/>
    </row>
    <row r="170" spans="1:14" ht="12.45" hidden="1">
      <c r="A170" t="str">
        <f ca="1">IFERROR(__xludf.DUMMYFUNCTION("""COMPUTED_VALUE"""),"V-3-343")</f>
        <v>V-3-343</v>
      </c>
      <c r="B170" t="str">
        <f ca="1">IFERROR(__xludf.DUMMYFUNCTION("""COMPUTED_VALUE"""),"Мочалюк")</f>
        <v>Мочалюк</v>
      </c>
      <c r="C170" t="str">
        <f ca="1">IFERROR(__xludf.DUMMYFUNCTION("""COMPUTED_VALUE"""),"Александр")</f>
        <v>Александр</v>
      </c>
      <c r="D170" t="str">
        <f ca="1">IFERROR(__xludf.DUMMYFUNCTION("""COMPUTED_VALUE"""),"Лицей 64")</f>
        <v>Лицей 64</v>
      </c>
      <c r="E170" s="5">
        <f ca="1">IFERROR(__xludf.DUMMYFUNCTION("""COMPUTED_VALUE"""),1)</f>
        <v>1</v>
      </c>
      <c r="F170" s="5">
        <f ca="1">IFERROR(__xludf.DUMMYFUNCTION("""COMPUTED_VALUE"""),2)</f>
        <v>2</v>
      </c>
      <c r="G170" s="5">
        <f ca="1">IFERROR(__xludf.DUMMYFUNCTION("""COMPUTED_VALUE"""),1)</f>
        <v>1</v>
      </c>
      <c r="H170" s="5">
        <f ca="1">IFERROR(__xludf.DUMMYFUNCTION("""COMPUTED_VALUE"""),0)</f>
        <v>0</v>
      </c>
      <c r="I170" s="5">
        <f ca="1">IFERROR(__xludf.DUMMYFUNCTION("""COMPUTED_VALUE"""),2)</f>
        <v>2</v>
      </c>
      <c r="J170" s="5">
        <f ca="1">IFERROR(__xludf.DUMMYFUNCTION("""COMPUTED_VALUE"""),0)</f>
        <v>0</v>
      </c>
      <c r="K170" s="5">
        <f ca="1">IFERROR(__xludf.DUMMYFUNCTION("""COMPUTED_VALUE"""),1)</f>
        <v>1</v>
      </c>
      <c r="L170" s="5">
        <f ca="1">IFERROR(__xludf.DUMMYFUNCTION("""COMPUTED_VALUE"""),0)</f>
        <v>0</v>
      </c>
      <c r="M170">
        <f ca="1">IFERROR(__xludf.DUMMYFUNCTION("""COMPUTED_VALUE"""),7)</f>
        <v>7</v>
      </c>
      <c r="N170" s="8"/>
    </row>
    <row r="171" spans="1:14" ht="12.45" hidden="1">
      <c r="A171" t="str">
        <f ca="1">IFERROR(__xludf.DUMMYFUNCTION("""COMPUTED_VALUE"""),"III-3-233")</f>
        <v>III-3-233</v>
      </c>
      <c r="B171" t="str">
        <f ca="1">IFERROR(__xludf.DUMMYFUNCTION("""COMPUTED_VALUE"""),"Константинова")</f>
        <v>Константинова</v>
      </c>
      <c r="C171" t="str">
        <f ca="1">IFERROR(__xludf.DUMMYFUNCTION("""COMPUTED_VALUE"""),"Ульяна")</f>
        <v>Ульяна</v>
      </c>
      <c r="D171" t="str">
        <f ca="1">IFERROR(__xludf.DUMMYFUNCTION("""COMPUTED_VALUE"""),"Лицей 64")</f>
        <v>Лицей 64</v>
      </c>
      <c r="E171" s="5">
        <f ca="1">IFERROR(__xludf.DUMMYFUNCTION("""COMPUTED_VALUE"""),0)</f>
        <v>0</v>
      </c>
      <c r="F171" s="5">
        <f ca="1">IFERROR(__xludf.DUMMYFUNCTION("""COMPUTED_VALUE"""),0)</f>
        <v>0</v>
      </c>
      <c r="G171" s="5">
        <f ca="1">IFERROR(__xludf.DUMMYFUNCTION("""COMPUTED_VALUE"""),3)</f>
        <v>3</v>
      </c>
      <c r="H171" s="5">
        <f ca="1">IFERROR(__xludf.DUMMYFUNCTION("""COMPUTED_VALUE"""),0)</f>
        <v>0</v>
      </c>
      <c r="I171" s="5">
        <f ca="1">IFERROR(__xludf.DUMMYFUNCTION("""COMPUTED_VALUE"""),2)</f>
        <v>2</v>
      </c>
      <c r="J171" s="5">
        <f ca="1">IFERROR(__xludf.DUMMYFUNCTION("""COMPUTED_VALUE"""),0)</f>
        <v>0</v>
      </c>
      <c r="K171" s="5">
        <f ca="1">IFERROR(__xludf.DUMMYFUNCTION("""COMPUTED_VALUE"""),1)</f>
        <v>1</v>
      </c>
      <c r="L171" s="5">
        <f ca="1">IFERROR(__xludf.DUMMYFUNCTION("""COMPUTED_VALUE"""),1)</f>
        <v>1</v>
      </c>
      <c r="M171">
        <f ca="1">IFERROR(__xludf.DUMMYFUNCTION("""COMPUTED_VALUE"""),7)</f>
        <v>7</v>
      </c>
      <c r="N171" s="8"/>
    </row>
    <row r="172" spans="1:14" ht="12.45" hidden="1">
      <c r="A172" t="str">
        <f ca="1">IFERROR(__xludf.DUMMYFUNCTION("""COMPUTED_VALUE"""),"III-3-235")</f>
        <v>III-3-235</v>
      </c>
      <c r="B172" t="str">
        <f ca="1">IFERROR(__xludf.DUMMYFUNCTION("""COMPUTED_VALUE"""),"Коншин")</f>
        <v>Коншин</v>
      </c>
      <c r="C172" t="str">
        <f ca="1">IFERROR(__xludf.DUMMYFUNCTION("""COMPUTED_VALUE"""),"Алексей")</f>
        <v>Алексей</v>
      </c>
      <c r="D172" t="str">
        <f ca="1">IFERROR(__xludf.DUMMYFUNCTION("""COMPUTED_VALUE"""),"Гимназия 642")</f>
        <v>Гимназия 642</v>
      </c>
      <c r="E172" s="5">
        <f ca="1">IFERROR(__xludf.DUMMYFUNCTION("""COMPUTED_VALUE"""),1)</f>
        <v>1</v>
      </c>
      <c r="F172" s="5">
        <f ca="1">IFERROR(__xludf.DUMMYFUNCTION("""COMPUTED_VALUE"""),2)</f>
        <v>2</v>
      </c>
      <c r="G172" s="5">
        <f ca="1">IFERROR(__xludf.DUMMYFUNCTION("""COMPUTED_VALUE"""),1)</f>
        <v>1</v>
      </c>
      <c r="H172" s="5">
        <f ca="1">IFERROR(__xludf.DUMMYFUNCTION("""COMPUTED_VALUE"""),0)</f>
        <v>0</v>
      </c>
      <c r="I172" s="5">
        <f ca="1">IFERROR(__xludf.DUMMYFUNCTION("""COMPUTED_VALUE"""),2)</f>
        <v>2</v>
      </c>
      <c r="J172" s="5">
        <f ca="1">IFERROR(__xludf.DUMMYFUNCTION("""COMPUTED_VALUE"""),0)</f>
        <v>0</v>
      </c>
      <c r="K172" s="5">
        <f ca="1">IFERROR(__xludf.DUMMYFUNCTION("""COMPUTED_VALUE"""),1)</f>
        <v>1</v>
      </c>
      <c r="L172" s="5">
        <f ca="1">IFERROR(__xludf.DUMMYFUNCTION("""COMPUTED_VALUE"""),0)</f>
        <v>0</v>
      </c>
      <c r="M172">
        <f ca="1">IFERROR(__xludf.DUMMYFUNCTION("""COMPUTED_VALUE"""),7)</f>
        <v>7</v>
      </c>
      <c r="N172" s="8"/>
    </row>
    <row r="173" spans="1:14" ht="12.45" hidden="1">
      <c r="A173" t="str">
        <f ca="1">IFERROR(__xludf.DUMMYFUNCTION("""COMPUTED_VALUE"""),"V-3-377")</f>
        <v>V-3-377</v>
      </c>
      <c r="B173" t="str">
        <f ca="1">IFERROR(__xludf.DUMMYFUNCTION("""COMPUTED_VALUE"""),"Образцов")</f>
        <v>Образцов</v>
      </c>
      <c r="C173" t="str">
        <f ca="1">IFERROR(__xludf.DUMMYFUNCTION("""COMPUTED_VALUE"""),"Михаил")</f>
        <v>Михаил</v>
      </c>
      <c r="D173" t="str">
        <f ca="1">IFERROR(__xludf.DUMMYFUNCTION("""COMPUTED_VALUE"""),"Школа 349")</f>
        <v>Школа 349</v>
      </c>
      <c r="E173" s="5">
        <f ca="1">IFERROR(__xludf.DUMMYFUNCTION("""COMPUTED_VALUE"""),1)</f>
        <v>1</v>
      </c>
      <c r="F173" s="5">
        <f ca="1">IFERROR(__xludf.DUMMYFUNCTION("""COMPUTED_VALUE"""),1)</f>
        <v>1</v>
      </c>
      <c r="G173" s="5">
        <f ca="1">IFERROR(__xludf.DUMMYFUNCTION("""COMPUTED_VALUE"""),2)</f>
        <v>2</v>
      </c>
      <c r="H173" s="5">
        <f ca="1">IFERROR(__xludf.DUMMYFUNCTION("""COMPUTED_VALUE"""),0)</f>
        <v>0</v>
      </c>
      <c r="I173" s="5">
        <f ca="1">IFERROR(__xludf.DUMMYFUNCTION("""COMPUTED_VALUE"""),2)</f>
        <v>2</v>
      </c>
      <c r="J173" s="5">
        <f ca="1">IFERROR(__xludf.DUMMYFUNCTION("""COMPUTED_VALUE"""),0)</f>
        <v>0</v>
      </c>
      <c r="K173" s="5">
        <f ca="1">IFERROR(__xludf.DUMMYFUNCTION("""COMPUTED_VALUE"""),1)</f>
        <v>1</v>
      </c>
      <c r="L173" s="5">
        <f ca="1">IFERROR(__xludf.DUMMYFUNCTION("""COMPUTED_VALUE"""),0)</f>
        <v>0</v>
      </c>
      <c r="M173">
        <f ca="1">IFERROR(__xludf.DUMMYFUNCTION("""COMPUTED_VALUE"""),7)</f>
        <v>7</v>
      </c>
      <c r="N173" s="8"/>
    </row>
    <row r="174" spans="1:14" ht="12.45" hidden="1">
      <c r="A174" t="str">
        <f ca="1">IFERROR(__xludf.DUMMYFUNCTION("""COMPUTED_VALUE"""),"V-3-393")</f>
        <v>V-3-393</v>
      </c>
      <c r="B174" t="str">
        <f ca="1">IFERROR(__xludf.DUMMYFUNCTION("""COMPUTED_VALUE"""),"Павлов")</f>
        <v>Павлов</v>
      </c>
      <c r="C174" t="str">
        <f ca="1">IFERROR(__xludf.DUMMYFUNCTION("""COMPUTED_VALUE"""),"Виктор")</f>
        <v>Виктор</v>
      </c>
      <c r="D174" t="str">
        <f ca="1">IFERROR(__xludf.DUMMYFUNCTION("""COMPUTED_VALUE"""),"Гимназия ФРАКТАЛ")</f>
        <v>Гимназия ФРАКТАЛ</v>
      </c>
      <c r="E174" s="5">
        <f ca="1">IFERROR(__xludf.DUMMYFUNCTION("""COMPUTED_VALUE"""),1)</f>
        <v>1</v>
      </c>
      <c r="F174" s="5">
        <f ca="1">IFERROR(__xludf.DUMMYFUNCTION("""COMPUTED_VALUE"""),1)</f>
        <v>1</v>
      </c>
      <c r="G174" s="5">
        <f ca="1">IFERROR(__xludf.DUMMYFUNCTION("""COMPUTED_VALUE"""),1)</f>
        <v>1</v>
      </c>
      <c r="H174" s="5">
        <f ca="1">IFERROR(__xludf.DUMMYFUNCTION("""COMPUTED_VALUE"""),2)</f>
        <v>2</v>
      </c>
      <c r="I174" s="5">
        <f ca="1">IFERROR(__xludf.DUMMYFUNCTION("""COMPUTED_VALUE"""),2)</f>
        <v>2</v>
      </c>
      <c r="J174" s="5">
        <f ca="1">IFERROR(__xludf.DUMMYFUNCTION("""COMPUTED_VALUE"""),0)</f>
        <v>0</v>
      </c>
      <c r="K174" s="5">
        <f ca="1">IFERROR(__xludf.DUMMYFUNCTION("""COMPUTED_VALUE"""),0)</f>
        <v>0</v>
      </c>
      <c r="L174" s="5">
        <f ca="1">IFERROR(__xludf.DUMMYFUNCTION("""COMPUTED_VALUE"""),0)</f>
        <v>0</v>
      </c>
      <c r="M174">
        <f ca="1">IFERROR(__xludf.DUMMYFUNCTION("""COMPUTED_VALUE"""),7)</f>
        <v>7</v>
      </c>
      <c r="N174" s="8"/>
    </row>
    <row r="175" spans="1:14" ht="12.45" hidden="1">
      <c r="A175" t="str">
        <f ca="1">IFERROR(__xludf.DUMMYFUNCTION("""COMPUTED_VALUE"""),"III-3-029")</f>
        <v>III-3-029</v>
      </c>
      <c r="B175" t="str">
        <f ca="1">IFERROR(__xludf.DUMMYFUNCTION("""COMPUTED_VALUE"""),"Байнов")</f>
        <v>Байнов</v>
      </c>
      <c r="C175" t="str">
        <f ca="1">IFERROR(__xludf.DUMMYFUNCTION("""COMPUTED_VALUE"""),"Леонид")</f>
        <v>Леонид</v>
      </c>
      <c r="D175" t="str">
        <f ca="1">IFERROR(__xludf.DUMMYFUNCTION("""COMPUTED_VALUE"""),"Школа 292")</f>
        <v>Школа 292</v>
      </c>
      <c r="E175" s="5">
        <f ca="1">IFERROR(__xludf.DUMMYFUNCTION("""COMPUTED_VALUE"""),2)</f>
        <v>2</v>
      </c>
      <c r="F175" s="5">
        <f ca="1">IFERROR(__xludf.DUMMYFUNCTION("""COMPUTED_VALUE"""),0)</f>
        <v>0</v>
      </c>
      <c r="G175" s="5">
        <f ca="1">IFERROR(__xludf.DUMMYFUNCTION("""COMPUTED_VALUE"""),1)</f>
        <v>1</v>
      </c>
      <c r="H175" s="5">
        <f ca="1">IFERROR(__xludf.DUMMYFUNCTION("""COMPUTED_VALUE"""),0)</f>
        <v>0</v>
      </c>
      <c r="I175" s="5">
        <f ca="1">IFERROR(__xludf.DUMMYFUNCTION("""COMPUTED_VALUE"""),2)</f>
        <v>2</v>
      </c>
      <c r="J175" s="5">
        <f ca="1">IFERROR(__xludf.DUMMYFUNCTION("""COMPUTED_VALUE"""),0)</f>
        <v>0</v>
      </c>
      <c r="K175" s="5">
        <f ca="1">IFERROR(__xludf.DUMMYFUNCTION("""COMPUTED_VALUE"""),2)</f>
        <v>2</v>
      </c>
      <c r="L175" s="5">
        <f ca="1">IFERROR(__xludf.DUMMYFUNCTION("""COMPUTED_VALUE"""),0)</f>
        <v>0</v>
      </c>
      <c r="M175">
        <f ca="1">IFERROR(__xludf.DUMMYFUNCTION("""COMPUTED_VALUE"""),7)</f>
        <v>7</v>
      </c>
      <c r="N175" s="8"/>
    </row>
    <row r="176" spans="1:14" ht="12.45" hidden="1">
      <c r="A176" t="str">
        <f ca="1">IFERROR(__xludf.DUMMYFUNCTION("""COMPUTED_VALUE"""),"III-3-085")</f>
        <v>III-3-085</v>
      </c>
      <c r="B176" t="str">
        <f ca="1">IFERROR(__xludf.DUMMYFUNCTION("""COMPUTED_VALUE"""),"Винников")</f>
        <v>Винников</v>
      </c>
      <c r="C176" t="str">
        <f ca="1">IFERROR(__xludf.DUMMYFUNCTION("""COMPUTED_VALUE"""),"Савва")</f>
        <v>Савва</v>
      </c>
      <c r="D176" t="str">
        <f ca="1">IFERROR(__xludf.DUMMYFUNCTION("""COMPUTED_VALUE"""),"Школа 345")</f>
        <v>Школа 345</v>
      </c>
      <c r="E176" s="5">
        <f ca="1">IFERROR(__xludf.DUMMYFUNCTION("""COMPUTED_VALUE"""),0)</f>
        <v>0</v>
      </c>
      <c r="F176" s="5">
        <f ca="1">IFERROR(__xludf.DUMMYFUNCTION("""COMPUTED_VALUE"""),2)</f>
        <v>2</v>
      </c>
      <c r="G176" s="5">
        <f ca="1">IFERROR(__xludf.DUMMYFUNCTION("""COMPUTED_VALUE"""),1)</f>
        <v>1</v>
      </c>
      <c r="H176" s="5">
        <f ca="1">IFERROR(__xludf.DUMMYFUNCTION("""COMPUTED_VALUE"""),0)</f>
        <v>0</v>
      </c>
      <c r="I176" s="5">
        <f ca="1">IFERROR(__xludf.DUMMYFUNCTION("""COMPUTED_VALUE"""),2)</f>
        <v>2</v>
      </c>
      <c r="J176" s="5">
        <f ca="1">IFERROR(__xludf.DUMMYFUNCTION("""COMPUTED_VALUE"""),0)</f>
        <v>0</v>
      </c>
      <c r="K176" s="5">
        <f ca="1">IFERROR(__xludf.DUMMYFUNCTION("""COMPUTED_VALUE"""),2)</f>
        <v>2</v>
      </c>
      <c r="L176" s="5">
        <f ca="1">IFERROR(__xludf.DUMMYFUNCTION("""COMPUTED_VALUE"""),0)</f>
        <v>0</v>
      </c>
      <c r="M176">
        <f ca="1">IFERROR(__xludf.DUMMYFUNCTION("""COMPUTED_VALUE"""),7)</f>
        <v>7</v>
      </c>
      <c r="N176" s="8"/>
    </row>
    <row r="177" spans="1:14" ht="12.45" hidden="1">
      <c r="A177" t="str">
        <f ca="1">IFERROR(__xludf.DUMMYFUNCTION("""COMPUTED_VALUE"""),"III-3-087")</f>
        <v>III-3-087</v>
      </c>
      <c r="B177" t="str">
        <f ca="1">IFERROR(__xludf.DUMMYFUNCTION("""COMPUTED_VALUE"""),"Волкова")</f>
        <v>Волкова</v>
      </c>
      <c r="C177" t="str">
        <f ca="1">IFERROR(__xludf.DUMMYFUNCTION("""COMPUTED_VALUE"""),"Алина")</f>
        <v>Алина</v>
      </c>
      <c r="D177" t="str">
        <f ca="1">IFERROR(__xludf.DUMMYFUNCTION("""COMPUTED_VALUE"""),"Школа 525")</f>
        <v>Школа 525</v>
      </c>
      <c r="E177" s="5">
        <f ca="1">IFERROR(__xludf.DUMMYFUNCTION("""COMPUTED_VALUE"""),0)</f>
        <v>0</v>
      </c>
      <c r="F177" s="5">
        <f ca="1">IFERROR(__xludf.DUMMYFUNCTION("""COMPUTED_VALUE"""),2)</f>
        <v>2</v>
      </c>
      <c r="G177" s="5">
        <f ca="1">IFERROR(__xludf.DUMMYFUNCTION("""COMPUTED_VALUE"""),3)</f>
        <v>3</v>
      </c>
      <c r="H177" s="5">
        <f ca="1">IFERROR(__xludf.DUMMYFUNCTION("""COMPUTED_VALUE"""),0)</f>
        <v>0</v>
      </c>
      <c r="I177" s="5">
        <f ca="1">IFERROR(__xludf.DUMMYFUNCTION("""COMPUTED_VALUE"""),0)</f>
        <v>0</v>
      </c>
      <c r="J177" s="5">
        <f ca="1">IFERROR(__xludf.DUMMYFUNCTION("""COMPUTED_VALUE"""),0)</f>
        <v>0</v>
      </c>
      <c r="K177" s="5">
        <f ca="1">IFERROR(__xludf.DUMMYFUNCTION("""COMPUTED_VALUE"""),2)</f>
        <v>2</v>
      </c>
      <c r="L177" s="5">
        <f ca="1">IFERROR(__xludf.DUMMYFUNCTION("""COMPUTED_VALUE"""),0)</f>
        <v>0</v>
      </c>
      <c r="M177">
        <f ca="1">IFERROR(__xludf.DUMMYFUNCTION("""COMPUTED_VALUE"""),7)</f>
        <v>7</v>
      </c>
      <c r="N177" s="8"/>
    </row>
    <row r="178" spans="1:14" ht="12.45" hidden="1">
      <c r="A178" t="str">
        <f ca="1">IFERROR(__xludf.DUMMYFUNCTION("""COMPUTED_VALUE"""),"V-3-304")</f>
        <v>V-3-304</v>
      </c>
      <c r="B178" t="str">
        <f ca="1">IFERROR(__xludf.DUMMYFUNCTION("""COMPUTED_VALUE"""),"Люблинский")</f>
        <v>Люблинский</v>
      </c>
      <c r="C178" t="str">
        <f ca="1">IFERROR(__xludf.DUMMYFUNCTION("""COMPUTED_VALUE"""),"Александр")</f>
        <v>Александр</v>
      </c>
      <c r="D178" t="str">
        <f ca="1">IFERROR(__xludf.DUMMYFUNCTION("""COMPUTED_VALUE"""),"Гимназия 66")</f>
        <v>Гимназия 66</v>
      </c>
      <c r="E178" s="5">
        <f ca="1">IFERROR(__xludf.DUMMYFUNCTION("""COMPUTED_VALUE"""),1)</f>
        <v>1</v>
      </c>
      <c r="F178" s="5">
        <f ca="1">IFERROR(__xludf.DUMMYFUNCTION("""COMPUTED_VALUE"""),1)</f>
        <v>1</v>
      </c>
      <c r="G178" s="5">
        <f ca="1">IFERROR(__xludf.DUMMYFUNCTION("""COMPUTED_VALUE"""),1)</f>
        <v>1</v>
      </c>
      <c r="H178" s="5">
        <f ca="1">IFERROR(__xludf.DUMMYFUNCTION("""COMPUTED_VALUE"""),2)</f>
        <v>2</v>
      </c>
      <c r="I178" s="5">
        <f ca="1">IFERROR(__xludf.DUMMYFUNCTION("""COMPUTED_VALUE"""),0)</f>
        <v>0</v>
      </c>
      <c r="J178" s="5">
        <f ca="1">IFERROR(__xludf.DUMMYFUNCTION("""COMPUTED_VALUE"""),0)</f>
        <v>0</v>
      </c>
      <c r="K178" s="5">
        <f ca="1">IFERROR(__xludf.DUMMYFUNCTION("""COMPUTED_VALUE"""),2)</f>
        <v>2</v>
      </c>
      <c r="L178" s="5">
        <f ca="1">IFERROR(__xludf.DUMMYFUNCTION("""COMPUTED_VALUE"""),0)</f>
        <v>0</v>
      </c>
      <c r="M178">
        <f ca="1">IFERROR(__xludf.DUMMYFUNCTION("""COMPUTED_VALUE"""),7)</f>
        <v>7</v>
      </c>
      <c r="N178" s="8"/>
    </row>
    <row r="179" spans="1:14" ht="12.45" hidden="1">
      <c r="A179" t="str">
        <f ca="1">IFERROR(__xludf.DUMMYFUNCTION("""COMPUTED_VALUE"""),"V-3-365")</f>
        <v>V-3-365</v>
      </c>
      <c r="B179" t="str">
        <f ca="1">IFERROR(__xludf.DUMMYFUNCTION("""COMPUTED_VALUE"""),"Нехамкин")</f>
        <v>Нехамкин</v>
      </c>
      <c r="C179" t="str">
        <f ca="1">IFERROR(__xludf.DUMMYFUNCTION("""COMPUTED_VALUE"""),"Даниэль")</f>
        <v>Даниэль</v>
      </c>
      <c r="D179" t="str">
        <f ca="1">IFERROR(__xludf.DUMMYFUNCTION("""COMPUTED_VALUE"""),"Гимназия 56")</f>
        <v>Гимназия 56</v>
      </c>
      <c r="E179" s="5">
        <f ca="1">IFERROR(__xludf.DUMMYFUNCTION("""COMPUTED_VALUE"""),1)</f>
        <v>1</v>
      </c>
      <c r="F179" s="5">
        <f ca="1">IFERROR(__xludf.DUMMYFUNCTION("""COMPUTED_VALUE"""),0)</f>
        <v>0</v>
      </c>
      <c r="G179" s="5">
        <f ca="1">IFERROR(__xludf.DUMMYFUNCTION("""COMPUTED_VALUE"""),2)</f>
        <v>2</v>
      </c>
      <c r="H179" s="5">
        <f ca="1">IFERROR(__xludf.DUMMYFUNCTION("""COMPUTED_VALUE"""),2)</f>
        <v>2</v>
      </c>
      <c r="I179" s="5">
        <f ca="1">IFERROR(__xludf.DUMMYFUNCTION("""COMPUTED_VALUE"""),0)</f>
        <v>0</v>
      </c>
      <c r="J179" s="5">
        <f ca="1">IFERROR(__xludf.DUMMYFUNCTION("""COMPUTED_VALUE"""),0)</f>
        <v>0</v>
      </c>
      <c r="K179" s="5">
        <f ca="1">IFERROR(__xludf.DUMMYFUNCTION("""COMPUTED_VALUE"""),1)</f>
        <v>1</v>
      </c>
      <c r="L179" s="5">
        <f ca="1">IFERROR(__xludf.DUMMYFUNCTION("""COMPUTED_VALUE"""),1)</f>
        <v>1</v>
      </c>
      <c r="M179">
        <f ca="1">IFERROR(__xludf.DUMMYFUNCTION("""COMPUTED_VALUE"""),7)</f>
        <v>7</v>
      </c>
      <c r="N179" s="8"/>
    </row>
    <row r="180" spans="1:14" ht="12.45" hidden="1">
      <c r="A180" t="str">
        <f ca="1">IFERROR(__xludf.DUMMYFUNCTION("""COMPUTED_VALUE"""),"III-3-242")</f>
        <v>III-3-242</v>
      </c>
      <c r="B180" t="str">
        <f ca="1">IFERROR(__xludf.DUMMYFUNCTION("""COMPUTED_VALUE"""),"Кошелева")</f>
        <v>Кошелева</v>
      </c>
      <c r="C180" t="str">
        <f ca="1">IFERROR(__xludf.DUMMYFUNCTION("""COMPUTED_VALUE"""),"Александра")</f>
        <v>Александра</v>
      </c>
      <c r="D180" t="str">
        <f ca="1">IFERROR(__xludf.DUMMYFUNCTION("""COMPUTED_VALUE"""),"Лицей 408")</f>
        <v>Лицей 408</v>
      </c>
      <c r="E180" s="5">
        <f ca="1">IFERROR(__xludf.DUMMYFUNCTION("""COMPUTED_VALUE"""),0)</f>
        <v>0</v>
      </c>
      <c r="F180" s="5">
        <f ca="1">IFERROR(__xludf.DUMMYFUNCTION("""COMPUTED_VALUE"""),5)</f>
        <v>5</v>
      </c>
      <c r="G180" s="5">
        <f ca="1">IFERROR(__xludf.DUMMYFUNCTION("""COMPUTED_VALUE"""),1)</f>
        <v>1</v>
      </c>
      <c r="H180" s="5">
        <f ca="1">IFERROR(__xludf.DUMMYFUNCTION("""COMPUTED_VALUE"""),0)</f>
        <v>0</v>
      </c>
      <c r="I180" s="5">
        <f ca="1">IFERROR(__xludf.DUMMYFUNCTION("""COMPUTED_VALUE"""),0)</f>
        <v>0</v>
      </c>
      <c r="J180" s="5">
        <f ca="1">IFERROR(__xludf.DUMMYFUNCTION("""COMPUTED_VALUE"""),0)</f>
        <v>0</v>
      </c>
      <c r="K180" s="5">
        <f ca="1">IFERROR(__xludf.DUMMYFUNCTION("""COMPUTED_VALUE"""),1)</f>
        <v>1</v>
      </c>
      <c r="L180" s="5">
        <f ca="1">IFERROR(__xludf.DUMMYFUNCTION("""COMPUTED_VALUE"""),0)</f>
        <v>0</v>
      </c>
      <c r="M180">
        <f ca="1">IFERROR(__xludf.DUMMYFUNCTION("""COMPUTED_VALUE"""),7)</f>
        <v>7</v>
      </c>
      <c r="N180" s="8"/>
    </row>
    <row r="181" spans="1:14" ht="12.45" hidden="1">
      <c r="A181" t="str">
        <f ca="1">IFERROR(__xludf.DUMMYFUNCTION("""COMPUTED_VALUE"""),"V-3-467")</f>
        <v>V-3-467</v>
      </c>
      <c r="B181" t="str">
        <f ca="1">IFERROR(__xludf.DUMMYFUNCTION("""COMPUTED_VALUE"""),"Семенов")</f>
        <v>Семенов</v>
      </c>
      <c r="C181" t="str">
        <f ca="1">IFERROR(__xludf.DUMMYFUNCTION("""COMPUTED_VALUE"""),"Артемий")</f>
        <v>Артемий</v>
      </c>
      <c r="D181" t="str">
        <f ca="1">IFERROR(__xludf.DUMMYFUNCTION("""COMPUTED_VALUE"""),"Гимназия 642")</f>
        <v>Гимназия 642</v>
      </c>
      <c r="E181" s="5">
        <f ca="1">IFERROR(__xludf.DUMMYFUNCTION("""COMPUTED_VALUE"""),2)</f>
        <v>2</v>
      </c>
      <c r="F181" s="5">
        <f ca="1">IFERROR(__xludf.DUMMYFUNCTION("""COMPUTED_VALUE"""),1)</f>
        <v>1</v>
      </c>
      <c r="G181" s="5">
        <f ca="1">IFERROR(__xludf.DUMMYFUNCTION("""COMPUTED_VALUE"""),3)</f>
        <v>3</v>
      </c>
      <c r="H181" s="5">
        <f ca="1">IFERROR(__xludf.DUMMYFUNCTION("""COMPUTED_VALUE"""),0)</f>
        <v>0</v>
      </c>
      <c r="I181" s="5">
        <f ca="1">IFERROR(__xludf.DUMMYFUNCTION("""COMPUTED_VALUE"""),0)</f>
        <v>0</v>
      </c>
      <c r="J181" s="5">
        <f ca="1">IFERROR(__xludf.DUMMYFUNCTION("""COMPUTED_VALUE"""),0)</f>
        <v>0</v>
      </c>
      <c r="K181" s="5">
        <f ca="1">IFERROR(__xludf.DUMMYFUNCTION("""COMPUTED_VALUE"""),1)</f>
        <v>1</v>
      </c>
      <c r="L181" s="5">
        <f ca="1">IFERROR(__xludf.DUMMYFUNCTION("""COMPUTED_VALUE"""),0)</f>
        <v>0</v>
      </c>
      <c r="M181">
        <f ca="1">IFERROR(__xludf.DUMMYFUNCTION("""COMPUTED_VALUE"""),7)</f>
        <v>7</v>
      </c>
      <c r="N181" s="8"/>
    </row>
    <row r="182" spans="1:14" ht="12.45" hidden="1">
      <c r="A182" t="str">
        <f ca="1">IFERROR(__xludf.DUMMYFUNCTION("""COMPUTED_VALUE"""),"V-3-595")</f>
        <v>V-3-595</v>
      </c>
      <c r="B182" t="str">
        <f ca="1">IFERROR(__xludf.DUMMYFUNCTION("""COMPUTED_VALUE"""),"Якосенко")</f>
        <v>Якосенко</v>
      </c>
      <c r="C182" t="str">
        <f ca="1">IFERROR(__xludf.DUMMYFUNCTION("""COMPUTED_VALUE"""),"Ева")</f>
        <v>Ева</v>
      </c>
      <c r="D182" t="str">
        <f ca="1">IFERROR(__xludf.DUMMYFUNCTION("""COMPUTED_VALUE"""),"Гимназия 107")</f>
        <v>Гимназия 107</v>
      </c>
      <c r="E182" s="5">
        <f ca="1">IFERROR(__xludf.DUMMYFUNCTION("""COMPUTED_VALUE"""),3)</f>
        <v>3</v>
      </c>
      <c r="F182" s="5">
        <f ca="1">IFERROR(__xludf.DUMMYFUNCTION("""COMPUTED_VALUE"""),2)</f>
        <v>2</v>
      </c>
      <c r="G182" s="5">
        <f ca="1">IFERROR(__xludf.DUMMYFUNCTION("""COMPUTED_VALUE"""),1)</f>
        <v>1</v>
      </c>
      <c r="H182" s="5">
        <f ca="1">IFERROR(__xludf.DUMMYFUNCTION("""COMPUTED_VALUE"""),0)</f>
        <v>0</v>
      </c>
      <c r="I182" s="5">
        <f ca="1">IFERROR(__xludf.DUMMYFUNCTION("""COMPUTED_VALUE"""),0)</f>
        <v>0</v>
      </c>
      <c r="J182" s="5">
        <f ca="1">IFERROR(__xludf.DUMMYFUNCTION("""COMPUTED_VALUE"""),0)</f>
        <v>0</v>
      </c>
      <c r="K182" s="5">
        <f ca="1">IFERROR(__xludf.DUMMYFUNCTION("""COMPUTED_VALUE"""),1)</f>
        <v>1</v>
      </c>
      <c r="L182" s="5">
        <f ca="1">IFERROR(__xludf.DUMMYFUNCTION("""COMPUTED_VALUE"""),0)</f>
        <v>0</v>
      </c>
      <c r="M182">
        <f ca="1">IFERROR(__xludf.DUMMYFUNCTION("""COMPUTED_VALUE"""),7)</f>
        <v>7</v>
      </c>
      <c r="N182" s="8"/>
    </row>
    <row r="183" spans="1:14" ht="12.45">
      <c r="A183" t="str">
        <f ca="1">IFERROR(__xludf.DUMMYFUNCTION("""COMPUTED_VALUE"""),"V-3-599")</f>
        <v>V-3-599</v>
      </c>
      <c r="B183" t="str">
        <f ca="1">IFERROR(__xludf.DUMMYFUNCTION("""COMPUTED_VALUE"""),"Ярышкин")</f>
        <v>Ярышкин</v>
      </c>
      <c r="C183" t="str">
        <f ca="1">IFERROR(__xludf.DUMMYFUNCTION("""COMPUTED_VALUE"""),"Глеб")</f>
        <v>Глеб</v>
      </c>
      <c r="D183" t="str">
        <f ca="1">IFERROR(__xludf.DUMMYFUNCTION("""COMPUTED_VALUE"""),"Гимназия Лингвистическая гимназия 3")</f>
        <v>Гимназия Лингвистическая гимназия 3</v>
      </c>
      <c r="E183" s="5">
        <f ca="1">IFERROR(__xludf.DUMMYFUNCTION("""COMPUTED_VALUE"""),1)</f>
        <v>1</v>
      </c>
      <c r="F183" s="5">
        <f ca="1">IFERROR(__xludf.DUMMYFUNCTION("""COMPUTED_VALUE"""),2)</f>
        <v>2</v>
      </c>
      <c r="G183" s="5">
        <f ca="1">IFERROR(__xludf.DUMMYFUNCTION("""COMPUTED_VALUE"""),0)</f>
        <v>0</v>
      </c>
      <c r="H183" s="5">
        <f ca="1">IFERROR(__xludf.DUMMYFUNCTION("""COMPUTED_VALUE"""),0)</f>
        <v>0</v>
      </c>
      <c r="I183" s="5">
        <f ca="1">IFERROR(__xludf.DUMMYFUNCTION("""COMPUTED_VALUE"""),0)</f>
        <v>0</v>
      </c>
      <c r="J183" s="5">
        <f ca="1">IFERROR(__xludf.DUMMYFUNCTION("""COMPUTED_VALUE"""),0)</f>
        <v>0</v>
      </c>
      <c r="K183" s="5">
        <f ca="1">IFERROR(__xludf.DUMMYFUNCTION("""COMPUTED_VALUE"""),4)</f>
        <v>4</v>
      </c>
      <c r="L183" s="5">
        <f ca="1">IFERROR(__xludf.DUMMYFUNCTION("""COMPUTED_VALUE"""),0)</f>
        <v>0</v>
      </c>
      <c r="M183">
        <f ca="1">IFERROR(__xludf.DUMMYFUNCTION("""COMPUTED_VALUE"""),7)</f>
        <v>7</v>
      </c>
      <c r="N183" s="8"/>
    </row>
    <row r="184" spans="1:14" ht="12.45" hidden="1">
      <c r="A184" t="str">
        <f ca="1">IFERROR(__xludf.DUMMYFUNCTION("""COMPUTED_VALUE"""),"III-3-251")</f>
        <v>III-3-251</v>
      </c>
      <c r="B184" t="str">
        <f ca="1">IFERROR(__xludf.DUMMYFUNCTION("""COMPUTED_VALUE"""),"Кудашкин")</f>
        <v>Кудашкин</v>
      </c>
      <c r="C184" t="str">
        <f ca="1">IFERROR(__xludf.DUMMYFUNCTION("""COMPUTED_VALUE"""),"Илья")</f>
        <v>Илья</v>
      </c>
      <c r="D184" t="str">
        <f ca="1">IFERROR(__xludf.DUMMYFUNCTION("""COMPUTED_VALUE"""),"Школа 320")</f>
        <v>Школа 320</v>
      </c>
      <c r="E184" s="5">
        <f ca="1">IFERROR(__xludf.DUMMYFUNCTION("""COMPUTED_VALUE"""),0)</f>
        <v>0</v>
      </c>
      <c r="F184" s="5">
        <f ca="1">IFERROR(__xludf.DUMMYFUNCTION("""COMPUTED_VALUE"""),1)</f>
        <v>1</v>
      </c>
      <c r="G184" s="5">
        <f ca="1">IFERROR(__xludf.DUMMYFUNCTION("""COMPUTED_VALUE"""),2)</f>
        <v>2</v>
      </c>
      <c r="H184" s="5">
        <f ca="1">IFERROR(__xludf.DUMMYFUNCTION("""COMPUTED_VALUE"""),0)</f>
        <v>0</v>
      </c>
      <c r="I184" s="5">
        <f ca="1">IFERROR(__xludf.DUMMYFUNCTION("""COMPUTED_VALUE"""),0)</f>
        <v>0</v>
      </c>
      <c r="J184" s="5">
        <f ca="1">IFERROR(__xludf.DUMMYFUNCTION("""COMPUTED_VALUE"""),1)</f>
        <v>1</v>
      </c>
      <c r="K184" s="5">
        <f ca="1">IFERROR(__xludf.DUMMYFUNCTION("""COMPUTED_VALUE"""),1)</f>
        <v>1</v>
      </c>
      <c r="L184" s="5">
        <f ca="1">IFERROR(__xludf.DUMMYFUNCTION("""COMPUTED_VALUE"""),2)</f>
        <v>2</v>
      </c>
      <c r="M184">
        <f ca="1">IFERROR(__xludf.DUMMYFUNCTION("""COMPUTED_VALUE"""),7)</f>
        <v>7</v>
      </c>
      <c r="N184" s="8"/>
    </row>
    <row r="185" spans="1:14" ht="12.45" hidden="1">
      <c r="A185" t="str">
        <f ca="1">IFERROR(__xludf.DUMMYFUNCTION("""COMPUTED_VALUE"""),"V-3-389")</f>
        <v>V-3-389</v>
      </c>
      <c r="B185" t="str">
        <f ca="1">IFERROR(__xludf.DUMMYFUNCTION("""COMPUTED_VALUE"""),"Осовский")</f>
        <v>Осовский</v>
      </c>
      <c r="C185" t="str">
        <f ca="1">IFERROR(__xludf.DUMMYFUNCTION("""COMPUTED_VALUE"""),"Илья")</f>
        <v>Илья</v>
      </c>
      <c r="D185" t="str">
        <f ca="1">IFERROR(__xludf.DUMMYFUNCTION("""COMPUTED_VALUE"""),"Лицей 470")</f>
        <v>Лицей 470</v>
      </c>
      <c r="E185" s="5">
        <f ca="1">IFERROR(__xludf.DUMMYFUNCTION("""COMPUTED_VALUE"""),1)</f>
        <v>1</v>
      </c>
      <c r="F185" s="5">
        <f ca="1">IFERROR(__xludf.DUMMYFUNCTION("""COMPUTED_VALUE"""),1)</f>
        <v>1</v>
      </c>
      <c r="G185" s="5">
        <f ca="1">IFERROR(__xludf.DUMMYFUNCTION("""COMPUTED_VALUE"""),1)</f>
        <v>1</v>
      </c>
      <c r="H185" s="5">
        <f ca="1">IFERROR(__xludf.DUMMYFUNCTION("""COMPUTED_VALUE"""),4)</f>
        <v>4</v>
      </c>
      <c r="I185" s="5">
        <f ca="1">IFERROR(__xludf.DUMMYFUNCTION("""COMPUTED_VALUE"""),0)</f>
        <v>0</v>
      </c>
      <c r="J185" s="5">
        <f ca="1">IFERROR(__xludf.DUMMYFUNCTION("""COMPUTED_VALUE"""),0)</f>
        <v>0</v>
      </c>
      <c r="K185" s="5">
        <f ca="1">IFERROR(__xludf.DUMMYFUNCTION("""COMPUTED_VALUE"""),0)</f>
        <v>0</v>
      </c>
      <c r="L185" s="5">
        <f ca="1">IFERROR(__xludf.DUMMYFUNCTION("""COMPUTED_VALUE"""),0)</f>
        <v>0</v>
      </c>
      <c r="M185">
        <f ca="1">IFERROR(__xludf.DUMMYFUNCTION("""COMPUTED_VALUE"""),7)</f>
        <v>7</v>
      </c>
      <c r="N185" s="8"/>
    </row>
    <row r="186" spans="1:14" ht="12.45" hidden="1">
      <c r="A186" t="str">
        <f ca="1">IFERROR(__xludf.DUMMYFUNCTION("""COMPUTED_VALUE"""),"III-3-190")</f>
        <v>III-3-190</v>
      </c>
      <c r="B186" t="str">
        <f ca="1">IFERROR(__xludf.DUMMYFUNCTION("""COMPUTED_VALUE"""),"Каджарова")</f>
        <v>Каджарова</v>
      </c>
      <c r="C186" t="str">
        <f ca="1">IFERROR(__xludf.DUMMYFUNCTION("""COMPUTED_VALUE"""),"Эльмира")</f>
        <v>Эльмира</v>
      </c>
      <c r="D186" t="str">
        <f ca="1">IFERROR(__xludf.DUMMYFUNCTION("""COMPUTED_VALUE"""),"Школа 246")</f>
        <v>Школа 246</v>
      </c>
      <c r="E186" s="5">
        <f ca="1">IFERROR(__xludf.DUMMYFUNCTION("""COMPUTED_VALUE"""),0)</f>
        <v>0</v>
      </c>
      <c r="F186" s="5">
        <f ca="1">IFERROR(__xludf.DUMMYFUNCTION("""COMPUTED_VALUE"""),2)</f>
        <v>2</v>
      </c>
      <c r="G186" s="5">
        <f ca="1">IFERROR(__xludf.DUMMYFUNCTION("""COMPUTED_VALUE"""),3)</f>
        <v>3</v>
      </c>
      <c r="H186" s="5">
        <f ca="1">IFERROR(__xludf.DUMMYFUNCTION("""COMPUTED_VALUE"""),0)</f>
        <v>0</v>
      </c>
      <c r="I186" s="5">
        <f ca="1">IFERROR(__xludf.DUMMYFUNCTION("""COMPUTED_VALUE"""),0)</f>
        <v>0</v>
      </c>
      <c r="J186" s="5">
        <f ca="1">IFERROR(__xludf.DUMMYFUNCTION("""COMPUTED_VALUE"""),0)</f>
        <v>0</v>
      </c>
      <c r="K186" s="5">
        <f ca="1">IFERROR(__xludf.DUMMYFUNCTION("""COMPUTED_VALUE"""),2)</f>
        <v>2</v>
      </c>
      <c r="L186" s="5">
        <f ca="1">IFERROR(__xludf.DUMMYFUNCTION("""COMPUTED_VALUE"""),0)</f>
        <v>0</v>
      </c>
      <c r="M186">
        <f ca="1">IFERROR(__xludf.DUMMYFUNCTION("""COMPUTED_VALUE"""),7)</f>
        <v>7</v>
      </c>
      <c r="N186" s="8"/>
    </row>
    <row r="187" spans="1:14" ht="12.45" hidden="1">
      <c r="A187" t="str">
        <f ca="1">IFERROR(__xludf.DUMMYFUNCTION("""COMPUTED_VALUE"""),"V-3-425")</f>
        <v>V-3-425</v>
      </c>
      <c r="B187" t="str">
        <f ca="1">IFERROR(__xludf.DUMMYFUNCTION("""COMPUTED_VALUE"""),"Початкова")</f>
        <v>Початкова</v>
      </c>
      <c r="C187" t="str">
        <f ca="1">IFERROR(__xludf.DUMMYFUNCTION("""COMPUTED_VALUE"""),"Анна")</f>
        <v>Анна</v>
      </c>
      <c r="D187" t="str">
        <f ca="1">IFERROR(__xludf.DUMMYFUNCTION("""COMPUTED_VALUE"""),"Гимназия 67")</f>
        <v>Гимназия 67</v>
      </c>
      <c r="E187" s="5">
        <f ca="1">IFERROR(__xludf.DUMMYFUNCTION("""COMPUTED_VALUE"""),0)</f>
        <v>0</v>
      </c>
      <c r="F187" s="5">
        <f ca="1">IFERROR(__xludf.DUMMYFUNCTION("""COMPUTED_VALUE"""),5)</f>
        <v>5</v>
      </c>
      <c r="G187" s="5">
        <f ca="1">IFERROR(__xludf.DUMMYFUNCTION("""COMPUTED_VALUE"""),2)</f>
        <v>2</v>
      </c>
      <c r="H187" s="5">
        <f ca="1">IFERROR(__xludf.DUMMYFUNCTION("""COMPUTED_VALUE"""),0)</f>
        <v>0</v>
      </c>
      <c r="I187" s="5">
        <f ca="1">IFERROR(__xludf.DUMMYFUNCTION("""COMPUTED_VALUE"""),0)</f>
        <v>0</v>
      </c>
      <c r="J187" s="5">
        <f ca="1">IFERROR(__xludf.DUMMYFUNCTION("""COMPUTED_VALUE"""),0)</f>
        <v>0</v>
      </c>
      <c r="K187" s="5">
        <f ca="1">IFERROR(__xludf.DUMMYFUNCTION("""COMPUTED_VALUE"""),0)</f>
        <v>0</v>
      </c>
      <c r="L187" s="5">
        <f ca="1">IFERROR(__xludf.DUMMYFUNCTION("""COMPUTED_VALUE"""),0)</f>
        <v>0</v>
      </c>
      <c r="M187">
        <f ca="1">IFERROR(__xludf.DUMMYFUNCTION("""COMPUTED_VALUE"""),7)</f>
        <v>7</v>
      </c>
      <c r="N187" s="8"/>
    </row>
    <row r="188" spans="1:14" ht="12.45" hidden="1">
      <c r="A188" t="str">
        <f ca="1">IFERROR(__xludf.DUMMYFUNCTION("""COMPUTED_VALUE"""),"III-3-145")</f>
        <v>III-3-145</v>
      </c>
      <c r="B188" t="str">
        <f ca="1">IFERROR(__xludf.DUMMYFUNCTION("""COMPUTED_VALUE"""),"Ефимчик")</f>
        <v>Ефимчик</v>
      </c>
      <c r="C188" t="str">
        <f ca="1">IFERROR(__xludf.DUMMYFUNCTION("""COMPUTED_VALUE"""),"Александр")</f>
        <v>Александр</v>
      </c>
      <c r="D188" t="str">
        <f ca="1">IFERROR(__xludf.DUMMYFUNCTION("""COMPUTED_VALUE"""),"Лицей 344")</f>
        <v>Лицей 344</v>
      </c>
      <c r="E188" s="5">
        <f ca="1">IFERROR(__xludf.DUMMYFUNCTION("""COMPUTED_VALUE"""),3)</f>
        <v>3</v>
      </c>
      <c r="F188" s="5">
        <f ca="1">IFERROR(__xludf.DUMMYFUNCTION("""COMPUTED_VALUE"""),1)</f>
        <v>1</v>
      </c>
      <c r="G188" s="5">
        <f ca="1">IFERROR(__xludf.DUMMYFUNCTION("""COMPUTED_VALUE"""),1)</f>
        <v>1</v>
      </c>
      <c r="H188" s="5">
        <f ca="1">IFERROR(__xludf.DUMMYFUNCTION("""COMPUTED_VALUE"""),0)</f>
        <v>0</v>
      </c>
      <c r="I188" s="5">
        <f ca="1">IFERROR(__xludf.DUMMYFUNCTION("""COMPUTED_VALUE"""),0)</f>
        <v>0</v>
      </c>
      <c r="J188" s="5">
        <f ca="1">IFERROR(__xludf.DUMMYFUNCTION("""COMPUTED_VALUE"""),0)</f>
        <v>0</v>
      </c>
      <c r="K188" s="5">
        <f ca="1">IFERROR(__xludf.DUMMYFUNCTION("""COMPUTED_VALUE"""),2)</f>
        <v>2</v>
      </c>
      <c r="L188" s="5">
        <f ca="1">IFERROR(__xludf.DUMMYFUNCTION("""COMPUTED_VALUE"""),0)</f>
        <v>0</v>
      </c>
      <c r="M188">
        <f ca="1">IFERROR(__xludf.DUMMYFUNCTION("""COMPUTED_VALUE"""),7)</f>
        <v>7</v>
      </c>
      <c r="N188" s="8"/>
    </row>
    <row r="189" spans="1:14" ht="12.45" hidden="1">
      <c r="A189" t="str">
        <f ca="1">IFERROR(__xludf.DUMMYFUNCTION("""COMPUTED_VALUE"""),"V-3-535")</f>
        <v>V-3-535</v>
      </c>
      <c r="B189" t="str">
        <f ca="1">IFERROR(__xludf.DUMMYFUNCTION("""COMPUTED_VALUE"""),"Ульяненко")</f>
        <v>Ульяненко</v>
      </c>
      <c r="C189" t="str">
        <f ca="1">IFERROR(__xludf.DUMMYFUNCTION("""COMPUTED_VALUE"""),"Кирилл")</f>
        <v>Кирилл</v>
      </c>
      <c r="D189" t="str">
        <f ca="1">IFERROR(__xludf.DUMMYFUNCTION("""COMPUTED_VALUE"""),"Школа 10")</f>
        <v>Школа 10</v>
      </c>
      <c r="E189" s="5">
        <f ca="1">IFERROR(__xludf.DUMMYFUNCTION("""COMPUTED_VALUE"""),3)</f>
        <v>3</v>
      </c>
      <c r="F189" s="5">
        <f ca="1">IFERROR(__xludf.DUMMYFUNCTION("""COMPUTED_VALUE"""),2)</f>
        <v>2</v>
      </c>
      <c r="G189" s="5">
        <f ca="1">IFERROR(__xludf.DUMMYFUNCTION("""COMPUTED_VALUE"""),1)</f>
        <v>1</v>
      </c>
      <c r="H189" s="5">
        <f ca="1">IFERROR(__xludf.DUMMYFUNCTION("""COMPUTED_VALUE"""),0)</f>
        <v>0</v>
      </c>
      <c r="I189" s="5">
        <f ca="1">IFERROR(__xludf.DUMMYFUNCTION("""COMPUTED_VALUE"""),0)</f>
        <v>0</v>
      </c>
      <c r="J189" s="5">
        <f ca="1">IFERROR(__xludf.DUMMYFUNCTION("""COMPUTED_VALUE"""),1)</f>
        <v>1</v>
      </c>
      <c r="K189" s="5">
        <f ca="1">IFERROR(__xludf.DUMMYFUNCTION("""COMPUTED_VALUE"""),0)</f>
        <v>0</v>
      </c>
      <c r="L189" s="5">
        <f ca="1">IFERROR(__xludf.DUMMYFUNCTION("""COMPUTED_VALUE"""),0)</f>
        <v>0</v>
      </c>
      <c r="M189">
        <f ca="1">IFERROR(__xludf.DUMMYFUNCTION("""COMPUTED_VALUE"""),7)</f>
        <v>7</v>
      </c>
      <c r="N189" s="8"/>
    </row>
    <row r="190" spans="1:14" ht="12.45" hidden="1">
      <c r="A190" t="str">
        <f ca="1">IFERROR(__xludf.DUMMYFUNCTION("""COMPUTED_VALUE"""),"III-3-244")</f>
        <v>III-3-244</v>
      </c>
      <c r="B190" t="str">
        <f ca="1">IFERROR(__xludf.DUMMYFUNCTION("""COMPUTED_VALUE"""),"Краснопольская")</f>
        <v>Краснопольская</v>
      </c>
      <c r="C190" t="str">
        <f ca="1">IFERROR(__xludf.DUMMYFUNCTION("""COMPUTED_VALUE"""),"Полина")</f>
        <v>Полина</v>
      </c>
      <c r="D190" t="str">
        <f ca="1">IFERROR(__xludf.DUMMYFUNCTION("""COMPUTED_VALUE"""),"Школа 593")</f>
        <v>Школа 593</v>
      </c>
      <c r="E190" s="5">
        <f ca="1">IFERROR(__xludf.DUMMYFUNCTION("""COMPUTED_VALUE"""),1)</f>
        <v>1</v>
      </c>
      <c r="F190" s="5">
        <f ca="1">IFERROR(__xludf.DUMMYFUNCTION("""COMPUTED_VALUE"""),0)</f>
        <v>0</v>
      </c>
      <c r="G190" s="5">
        <f ca="1">IFERROR(__xludf.DUMMYFUNCTION("""COMPUTED_VALUE"""),2)</f>
        <v>2</v>
      </c>
      <c r="H190" s="5">
        <f ca="1">IFERROR(__xludf.DUMMYFUNCTION("""COMPUTED_VALUE"""),0)</f>
        <v>0</v>
      </c>
      <c r="I190" s="5">
        <f ca="1">IFERROR(__xludf.DUMMYFUNCTION("""COMPUTED_VALUE"""),0)</f>
        <v>0</v>
      </c>
      <c r="J190" s="5">
        <f ca="1">IFERROR(__xludf.DUMMYFUNCTION("""COMPUTED_VALUE"""),1)</f>
        <v>1</v>
      </c>
      <c r="K190" s="5">
        <f ca="1">IFERROR(__xludf.DUMMYFUNCTION("""COMPUTED_VALUE"""),1)</f>
        <v>1</v>
      </c>
      <c r="L190" s="5">
        <f ca="1">IFERROR(__xludf.DUMMYFUNCTION("""COMPUTED_VALUE"""),2)</f>
        <v>2</v>
      </c>
      <c r="M190">
        <f ca="1">IFERROR(__xludf.DUMMYFUNCTION("""COMPUTED_VALUE"""),7)</f>
        <v>7</v>
      </c>
      <c r="N190" s="8"/>
    </row>
    <row r="191" spans="1:14" ht="12.45" hidden="1">
      <c r="A191" t="str">
        <f ca="1">IFERROR(__xludf.DUMMYFUNCTION("""COMPUTED_VALUE"""),"III-3-198")</f>
        <v>III-3-198</v>
      </c>
      <c r="B191" t="str">
        <f ca="1">IFERROR(__xludf.DUMMYFUNCTION("""COMPUTED_VALUE"""),"Каргина")</f>
        <v>Каргина</v>
      </c>
      <c r="C191" t="str">
        <f ca="1">IFERROR(__xludf.DUMMYFUNCTION("""COMPUTED_VALUE"""),"София")</f>
        <v>София</v>
      </c>
      <c r="D191" t="str">
        <f ca="1">IFERROR(__xludf.DUMMYFUNCTION("""COMPUTED_VALUE"""),"Гимназия 261")</f>
        <v>Гимназия 261</v>
      </c>
      <c r="E191" s="5">
        <f ca="1">IFERROR(__xludf.DUMMYFUNCTION("""COMPUTED_VALUE"""),1)</f>
        <v>1</v>
      </c>
      <c r="F191" s="5">
        <f ca="1">IFERROR(__xludf.DUMMYFUNCTION("""COMPUTED_VALUE"""),0)</f>
        <v>0</v>
      </c>
      <c r="G191" s="5">
        <f ca="1">IFERROR(__xludf.DUMMYFUNCTION("""COMPUTED_VALUE"""),3)</f>
        <v>3</v>
      </c>
      <c r="H191" s="5">
        <f ca="1">IFERROR(__xludf.DUMMYFUNCTION("""COMPUTED_VALUE"""),0)</f>
        <v>0</v>
      </c>
      <c r="I191" s="5">
        <f ca="1">IFERROR(__xludf.DUMMYFUNCTION("""COMPUTED_VALUE"""),0)</f>
        <v>0</v>
      </c>
      <c r="J191" s="5">
        <f ca="1">IFERROR(__xludf.DUMMYFUNCTION("""COMPUTED_VALUE"""),1)</f>
        <v>1</v>
      </c>
      <c r="K191" s="5">
        <f ca="1">IFERROR(__xludf.DUMMYFUNCTION("""COMPUTED_VALUE"""),2)</f>
        <v>2</v>
      </c>
      <c r="L191" s="5">
        <f ca="1">IFERROR(__xludf.DUMMYFUNCTION("""COMPUTED_VALUE"""),0)</f>
        <v>0</v>
      </c>
      <c r="M191">
        <f ca="1">IFERROR(__xludf.DUMMYFUNCTION("""COMPUTED_VALUE"""),7)</f>
        <v>7</v>
      </c>
      <c r="N191" s="8"/>
    </row>
    <row r="192" spans="1:14" ht="12.45" hidden="1">
      <c r="A192" t="str">
        <f ca="1">IFERROR(__xludf.DUMMYFUNCTION("""COMPUTED_VALUE"""),"III-3-183")</f>
        <v>III-3-183</v>
      </c>
      <c r="B192" t="str">
        <f ca="1">IFERROR(__xludf.DUMMYFUNCTION("""COMPUTED_VALUE"""),"Илларионова")</f>
        <v>Илларионова</v>
      </c>
      <c r="C192" t="str">
        <f ca="1">IFERROR(__xludf.DUMMYFUNCTION("""COMPUTED_VALUE"""),"Эвелина")</f>
        <v>Эвелина</v>
      </c>
      <c r="D192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192" s="5">
        <f ca="1">IFERROR(__xludf.DUMMYFUNCTION("""COMPUTED_VALUE"""),0)</f>
        <v>0</v>
      </c>
      <c r="F192" s="5">
        <f ca="1">IFERROR(__xludf.DUMMYFUNCTION("""COMPUTED_VALUE"""),2)</f>
        <v>2</v>
      </c>
      <c r="G192" s="5">
        <f ca="1">IFERROR(__xludf.DUMMYFUNCTION("""COMPUTED_VALUE"""),3)</f>
        <v>3</v>
      </c>
      <c r="H192" s="5">
        <f ca="1">IFERROR(__xludf.DUMMYFUNCTION("""COMPUTED_VALUE"""),0)</f>
        <v>0</v>
      </c>
      <c r="I192" s="5">
        <f ca="1">IFERROR(__xludf.DUMMYFUNCTION("""COMPUTED_VALUE"""),0)</f>
        <v>0</v>
      </c>
      <c r="J192" s="5">
        <f ca="1">IFERROR(__xludf.DUMMYFUNCTION("""COMPUTED_VALUE"""),0)</f>
        <v>0</v>
      </c>
      <c r="K192" s="5">
        <f ca="1">IFERROR(__xludf.DUMMYFUNCTION("""COMPUTED_VALUE"""),2)</f>
        <v>2</v>
      </c>
      <c r="L192" s="5">
        <f ca="1">IFERROR(__xludf.DUMMYFUNCTION("""COMPUTED_VALUE"""),0)</f>
        <v>0</v>
      </c>
      <c r="M192">
        <f ca="1">IFERROR(__xludf.DUMMYFUNCTION("""COMPUTED_VALUE"""),7)</f>
        <v>7</v>
      </c>
      <c r="N192" s="8"/>
    </row>
    <row r="193" spans="1:14" ht="12.45" hidden="1">
      <c r="A193" t="str">
        <f ca="1">IFERROR(__xludf.DUMMYFUNCTION("""COMPUTED_VALUE"""),"III-3-294")</f>
        <v>III-3-294</v>
      </c>
      <c r="B193" t="str">
        <f ca="1">IFERROR(__xludf.DUMMYFUNCTION("""COMPUTED_VALUE"""),"Литуненко")</f>
        <v>Литуненко</v>
      </c>
      <c r="C193" t="str">
        <f ca="1">IFERROR(__xludf.DUMMYFUNCTION("""COMPUTED_VALUE"""),"Владислав")</f>
        <v>Владислав</v>
      </c>
      <c r="D193" t="str">
        <f ca="1">IFERROR(__xludf.DUMMYFUNCTION("""COMPUTED_VALUE"""),"Школа 246")</f>
        <v>Школа 246</v>
      </c>
      <c r="E193" s="5">
        <f ca="1">IFERROR(__xludf.DUMMYFUNCTION("""COMPUTED_VALUE"""),2)</f>
        <v>2</v>
      </c>
      <c r="F193" s="5">
        <f ca="1">IFERROR(__xludf.DUMMYFUNCTION("""COMPUTED_VALUE"""),0)</f>
        <v>0</v>
      </c>
      <c r="G193" s="5">
        <f ca="1">IFERROR(__xludf.DUMMYFUNCTION("""COMPUTED_VALUE"""),1)</f>
        <v>1</v>
      </c>
      <c r="H193" s="5">
        <f ca="1">IFERROR(__xludf.DUMMYFUNCTION("""COMPUTED_VALUE"""),0)</f>
        <v>0</v>
      </c>
      <c r="I193" s="5">
        <f ca="1">IFERROR(__xludf.DUMMYFUNCTION("""COMPUTED_VALUE"""),0)</f>
        <v>0</v>
      </c>
      <c r="J193" s="5">
        <f ca="1">IFERROR(__xludf.DUMMYFUNCTION("""COMPUTED_VALUE"""),1)</f>
        <v>1</v>
      </c>
      <c r="K193" s="5">
        <f ca="1">IFERROR(__xludf.DUMMYFUNCTION("""COMPUTED_VALUE"""),1)</f>
        <v>1</v>
      </c>
      <c r="L193" s="5">
        <f ca="1">IFERROR(__xludf.DUMMYFUNCTION("""COMPUTED_VALUE"""),2)</f>
        <v>2</v>
      </c>
      <c r="M193">
        <f ca="1">IFERROR(__xludf.DUMMYFUNCTION("""COMPUTED_VALUE"""),7)</f>
        <v>7</v>
      </c>
      <c r="N193" s="8"/>
    </row>
    <row r="194" spans="1:14" ht="12.45" hidden="1">
      <c r="A194" t="str">
        <f ca="1">IFERROR(__xludf.DUMMYFUNCTION("""COMPUTED_VALUE"""),"III-3-120")</f>
        <v>III-3-120</v>
      </c>
      <c r="B194" t="str">
        <f ca="1">IFERROR(__xludf.DUMMYFUNCTION("""COMPUTED_VALUE"""),"Гуревич")</f>
        <v>Гуревич</v>
      </c>
      <c r="C194" t="str">
        <f ca="1">IFERROR(__xludf.DUMMYFUNCTION("""COMPUTED_VALUE"""),"Авиталь")</f>
        <v>Авиталь</v>
      </c>
      <c r="D194" t="str">
        <f ca="1">IFERROR(__xludf.DUMMYFUNCTION("""COMPUTED_VALUE"""),"Школа 13")</f>
        <v>Школа 13</v>
      </c>
      <c r="E194" s="5">
        <f ca="1">IFERROR(__xludf.DUMMYFUNCTION("""COMPUTED_VALUE"""),0)</f>
        <v>0</v>
      </c>
      <c r="F194" s="5">
        <f ca="1">IFERROR(__xludf.DUMMYFUNCTION("""COMPUTED_VALUE"""),0)</f>
        <v>0</v>
      </c>
      <c r="G194" s="5">
        <f ca="1">IFERROR(__xludf.DUMMYFUNCTION("""COMPUTED_VALUE"""),1)</f>
        <v>1</v>
      </c>
      <c r="H194" s="5">
        <f ca="1">IFERROR(__xludf.DUMMYFUNCTION("""COMPUTED_VALUE"""),0)</f>
        <v>0</v>
      </c>
      <c r="I194" s="5">
        <f ca="1">IFERROR(__xludf.DUMMYFUNCTION("""COMPUTED_VALUE"""),3)</f>
        <v>3</v>
      </c>
      <c r="J194" s="5">
        <f ca="1">IFERROR(__xludf.DUMMYFUNCTION("""COMPUTED_VALUE"""),0)</f>
        <v>0</v>
      </c>
      <c r="K194" s="5">
        <f ca="1">IFERROR(__xludf.DUMMYFUNCTION("""COMPUTED_VALUE"""),1)</f>
        <v>1</v>
      </c>
      <c r="L194" s="5">
        <f ca="1">IFERROR(__xludf.DUMMYFUNCTION("""COMPUTED_VALUE"""),1)</f>
        <v>1</v>
      </c>
      <c r="M194">
        <f ca="1">IFERROR(__xludf.DUMMYFUNCTION("""COMPUTED_VALUE"""),6)</f>
        <v>6</v>
      </c>
      <c r="N194" s="8"/>
    </row>
    <row r="195" spans="1:14" ht="12.45" hidden="1">
      <c r="A195" t="str">
        <f ca="1">IFERROR(__xludf.DUMMYFUNCTION("""COMPUTED_VALUE"""),"III-3-008")</f>
        <v>III-3-008</v>
      </c>
      <c r="B195" t="str">
        <f ca="1">IFERROR(__xludf.DUMMYFUNCTION("""COMPUTED_VALUE"""),"Ал-заанейн")</f>
        <v>Ал-заанейн</v>
      </c>
      <c r="C195" t="str">
        <f ca="1">IFERROR(__xludf.DUMMYFUNCTION("""COMPUTED_VALUE"""),"Елизавета")</f>
        <v>Елизавета</v>
      </c>
      <c r="D195" t="str">
        <f ca="1">IFERROR(__xludf.DUMMYFUNCTION("""COMPUTED_VALUE"""),"Лицей 179")</f>
        <v>Лицей 179</v>
      </c>
      <c r="E195" s="5">
        <f ca="1">IFERROR(__xludf.DUMMYFUNCTION("""COMPUTED_VALUE"""),0)</f>
        <v>0</v>
      </c>
      <c r="F195" s="5">
        <f ca="1">IFERROR(__xludf.DUMMYFUNCTION("""COMPUTED_VALUE"""),0)</f>
        <v>0</v>
      </c>
      <c r="G195" s="5">
        <f ca="1">IFERROR(__xludf.DUMMYFUNCTION("""COMPUTED_VALUE"""),2)</f>
        <v>2</v>
      </c>
      <c r="H195" s="5">
        <f ca="1">IFERROR(__xludf.DUMMYFUNCTION("""COMPUTED_VALUE"""),0)</f>
        <v>0</v>
      </c>
      <c r="I195" s="5">
        <f ca="1">IFERROR(__xludf.DUMMYFUNCTION("""COMPUTED_VALUE"""),3)</f>
        <v>3</v>
      </c>
      <c r="J195" s="5">
        <f ca="1">IFERROR(__xludf.DUMMYFUNCTION("""COMPUTED_VALUE"""),0)</f>
        <v>0</v>
      </c>
      <c r="K195" s="5">
        <f ca="1">IFERROR(__xludf.DUMMYFUNCTION("""COMPUTED_VALUE"""),0)</f>
        <v>0</v>
      </c>
      <c r="L195" s="5">
        <f ca="1">IFERROR(__xludf.DUMMYFUNCTION("""COMPUTED_VALUE"""),1)</f>
        <v>1</v>
      </c>
      <c r="M195">
        <f ca="1">IFERROR(__xludf.DUMMYFUNCTION("""COMPUTED_VALUE"""),6)</f>
        <v>6</v>
      </c>
      <c r="N195" s="8"/>
    </row>
    <row r="196" spans="1:14" ht="12.45" hidden="1">
      <c r="A196" t="str">
        <f ca="1">IFERROR(__xludf.DUMMYFUNCTION("""COMPUTED_VALUE"""),"V-3-554")</f>
        <v>V-3-554</v>
      </c>
      <c r="B196" t="str">
        <f ca="1">IFERROR(__xludf.DUMMYFUNCTION("""COMPUTED_VALUE"""),"Харитонов")</f>
        <v>Харитонов</v>
      </c>
      <c r="C196" t="str">
        <f ca="1">IFERROR(__xludf.DUMMYFUNCTION("""COMPUTED_VALUE"""),"Илья")</f>
        <v>Илья</v>
      </c>
      <c r="D196" t="str">
        <f ca="1">IFERROR(__xludf.DUMMYFUNCTION("""COMPUTED_VALUE"""),"Лицей 101")</f>
        <v>Лицей 101</v>
      </c>
      <c r="E196" s="5">
        <f ca="1">IFERROR(__xludf.DUMMYFUNCTION("""COMPUTED_VALUE"""),0)</f>
        <v>0</v>
      </c>
      <c r="F196" s="5">
        <f ca="1">IFERROR(__xludf.DUMMYFUNCTION("""COMPUTED_VALUE"""),2)</f>
        <v>2</v>
      </c>
      <c r="G196" s="5">
        <f ca="1">IFERROR(__xludf.DUMMYFUNCTION("""COMPUTED_VALUE"""),1)</f>
        <v>1</v>
      </c>
      <c r="H196" s="5">
        <f ca="1">IFERROR(__xludf.DUMMYFUNCTION("""COMPUTED_VALUE"""),0)</f>
        <v>0</v>
      </c>
      <c r="I196" s="5">
        <f ca="1">IFERROR(__xludf.DUMMYFUNCTION("""COMPUTED_VALUE"""),3)</f>
        <v>3</v>
      </c>
      <c r="J196" s="5">
        <f ca="1">IFERROR(__xludf.DUMMYFUNCTION("""COMPUTED_VALUE"""),0)</f>
        <v>0</v>
      </c>
      <c r="K196" s="5">
        <f ca="1">IFERROR(__xludf.DUMMYFUNCTION("""COMPUTED_VALUE"""),0)</f>
        <v>0</v>
      </c>
      <c r="L196" s="5">
        <f ca="1">IFERROR(__xludf.DUMMYFUNCTION("""COMPUTED_VALUE"""),0)</f>
        <v>0</v>
      </c>
      <c r="M196">
        <f ca="1">IFERROR(__xludf.DUMMYFUNCTION("""COMPUTED_VALUE"""),6)</f>
        <v>6</v>
      </c>
      <c r="N196" s="8"/>
    </row>
    <row r="197" spans="1:14" ht="12.45" hidden="1">
      <c r="A197" t="str">
        <f ca="1">IFERROR(__xludf.DUMMYFUNCTION("""COMPUTED_VALUE"""),"III-3-130")</f>
        <v>III-3-130</v>
      </c>
      <c r="B197" t="str">
        <f ca="1">IFERROR(__xludf.DUMMYFUNCTION("""COMPUTED_VALUE"""),"Дмитриева")</f>
        <v>Дмитриева</v>
      </c>
      <c r="C197" t="str">
        <f ca="1">IFERROR(__xludf.DUMMYFUNCTION("""COMPUTED_VALUE"""),"Анастасия")</f>
        <v>Анастасия</v>
      </c>
      <c r="D197" t="str">
        <f ca="1">IFERROR(__xludf.DUMMYFUNCTION("""COMPUTED_VALUE"""),"Гимназия 56")</f>
        <v>Гимназия 56</v>
      </c>
      <c r="E197" s="5">
        <f ca="1">IFERROR(__xludf.DUMMYFUNCTION("""COMPUTED_VALUE"""),0)</f>
        <v>0</v>
      </c>
      <c r="F197" s="5">
        <f ca="1">IFERROR(__xludf.DUMMYFUNCTION("""COMPUTED_VALUE"""),2)</f>
        <v>2</v>
      </c>
      <c r="G197" s="5">
        <f ca="1">IFERROR(__xludf.DUMMYFUNCTION("""COMPUTED_VALUE"""),1)</f>
        <v>1</v>
      </c>
      <c r="H197" s="5">
        <f ca="1">IFERROR(__xludf.DUMMYFUNCTION("""COMPUTED_VALUE"""),0)</f>
        <v>0</v>
      </c>
      <c r="I197" s="5">
        <f ca="1">IFERROR(__xludf.DUMMYFUNCTION("""COMPUTED_VALUE"""),2)</f>
        <v>2</v>
      </c>
      <c r="J197" s="5">
        <f ca="1">IFERROR(__xludf.DUMMYFUNCTION("""COMPUTED_VALUE"""),0)</f>
        <v>0</v>
      </c>
      <c r="K197" s="5">
        <f ca="1">IFERROR(__xludf.DUMMYFUNCTION("""COMPUTED_VALUE"""),1)</f>
        <v>1</v>
      </c>
      <c r="L197" s="5">
        <f ca="1">IFERROR(__xludf.DUMMYFUNCTION("""COMPUTED_VALUE"""),0)</f>
        <v>0</v>
      </c>
      <c r="M197">
        <f ca="1">IFERROR(__xludf.DUMMYFUNCTION("""COMPUTED_VALUE"""),6)</f>
        <v>6</v>
      </c>
      <c r="N197" s="8"/>
    </row>
    <row r="198" spans="1:14" ht="12.45" hidden="1">
      <c r="A198" t="str">
        <f ca="1">IFERROR(__xludf.DUMMYFUNCTION("""COMPUTED_VALUE"""),"V-3-553")</f>
        <v>V-3-553</v>
      </c>
      <c r="B198" t="str">
        <f ca="1">IFERROR(__xludf.DUMMYFUNCTION("""COMPUTED_VALUE"""),"харитонов")</f>
        <v>харитонов</v>
      </c>
      <c r="C198" t="str">
        <f ca="1">IFERROR(__xludf.DUMMYFUNCTION("""COMPUTED_VALUE"""),"иван")</f>
        <v>иван</v>
      </c>
      <c r="D198" t="str">
        <f ca="1">IFERROR(__xludf.DUMMYFUNCTION("""COMPUTED_VALUE"""),"Школа 62")</f>
        <v>Школа 62</v>
      </c>
      <c r="E198" s="5">
        <f ca="1">IFERROR(__xludf.DUMMYFUNCTION("""COMPUTED_VALUE"""),1)</f>
        <v>1</v>
      </c>
      <c r="F198" s="5">
        <f ca="1">IFERROR(__xludf.DUMMYFUNCTION("""COMPUTED_VALUE"""),1)</f>
        <v>1</v>
      </c>
      <c r="G198" s="5">
        <f ca="1">IFERROR(__xludf.DUMMYFUNCTION("""COMPUTED_VALUE"""),0)</f>
        <v>0</v>
      </c>
      <c r="H198" s="5">
        <f ca="1">IFERROR(__xludf.DUMMYFUNCTION("""COMPUTED_VALUE"""),2)</f>
        <v>2</v>
      </c>
      <c r="I198" s="5">
        <f ca="1">IFERROR(__xludf.DUMMYFUNCTION("""COMPUTED_VALUE"""),2)</f>
        <v>2</v>
      </c>
      <c r="J198" s="5">
        <f ca="1">IFERROR(__xludf.DUMMYFUNCTION("""COMPUTED_VALUE"""),0)</f>
        <v>0</v>
      </c>
      <c r="K198" s="5">
        <f ca="1">IFERROR(__xludf.DUMMYFUNCTION("""COMPUTED_VALUE"""),0)</f>
        <v>0</v>
      </c>
      <c r="L198" s="5">
        <f ca="1">IFERROR(__xludf.DUMMYFUNCTION("""COMPUTED_VALUE"""),0)</f>
        <v>0</v>
      </c>
      <c r="M198">
        <f ca="1">IFERROR(__xludf.DUMMYFUNCTION("""COMPUTED_VALUE"""),6)</f>
        <v>6</v>
      </c>
      <c r="N198" s="8"/>
    </row>
    <row r="199" spans="1:14" ht="12.45" hidden="1">
      <c r="A199" t="str">
        <f ca="1">IFERROR(__xludf.DUMMYFUNCTION("""COMPUTED_VALUE"""),"III-3-238")</f>
        <v>III-3-238</v>
      </c>
      <c r="B199" t="str">
        <f ca="1">IFERROR(__xludf.DUMMYFUNCTION("""COMPUTED_VALUE"""),"Костюков")</f>
        <v>Костюков</v>
      </c>
      <c r="C199" t="str">
        <f ca="1">IFERROR(__xludf.DUMMYFUNCTION("""COMPUTED_VALUE"""),"Петр")</f>
        <v>Петр</v>
      </c>
      <c r="D199" t="str">
        <f ca="1">IFERROR(__xludf.DUMMYFUNCTION("""COMPUTED_VALUE"""),"Гимназия 540")</f>
        <v>Гимназия 540</v>
      </c>
      <c r="E199" s="5">
        <f ca="1">IFERROR(__xludf.DUMMYFUNCTION("""COMPUTED_VALUE"""),1)</f>
        <v>1</v>
      </c>
      <c r="F199" s="5">
        <f ca="1">IFERROR(__xludf.DUMMYFUNCTION("""COMPUTED_VALUE"""),1)</f>
        <v>1</v>
      </c>
      <c r="G199" s="5">
        <f ca="1">IFERROR(__xludf.DUMMYFUNCTION("""COMPUTED_VALUE"""),1)</f>
        <v>1</v>
      </c>
      <c r="H199" s="5">
        <f ca="1">IFERROR(__xludf.DUMMYFUNCTION("""COMPUTED_VALUE"""),0)</f>
        <v>0</v>
      </c>
      <c r="I199" s="5">
        <f ca="1">IFERROR(__xludf.DUMMYFUNCTION("""COMPUTED_VALUE"""),2)</f>
        <v>2</v>
      </c>
      <c r="J199" s="5">
        <f ca="1">IFERROR(__xludf.DUMMYFUNCTION("""COMPUTED_VALUE"""),0)</f>
        <v>0</v>
      </c>
      <c r="K199" s="5">
        <f ca="1">IFERROR(__xludf.DUMMYFUNCTION("""COMPUTED_VALUE"""),1)</f>
        <v>1</v>
      </c>
      <c r="L199" s="5">
        <f ca="1">IFERROR(__xludf.DUMMYFUNCTION("""COMPUTED_VALUE"""),0)</f>
        <v>0</v>
      </c>
      <c r="M199">
        <f ca="1">IFERROR(__xludf.DUMMYFUNCTION("""COMPUTED_VALUE"""),6)</f>
        <v>6</v>
      </c>
      <c r="N199" s="8"/>
    </row>
    <row r="200" spans="1:14" ht="12.45" hidden="1">
      <c r="A200" t="str">
        <f ca="1">IFERROR(__xludf.DUMMYFUNCTION("""COMPUTED_VALUE"""),"V-3-540")</f>
        <v>V-3-540</v>
      </c>
      <c r="B200" t="str">
        <f ca="1">IFERROR(__xludf.DUMMYFUNCTION("""COMPUTED_VALUE"""),"Фёдоров")</f>
        <v>Фёдоров</v>
      </c>
      <c r="C200" t="str">
        <f ca="1">IFERROR(__xludf.DUMMYFUNCTION("""COMPUTED_VALUE"""),"Дмитрий")</f>
        <v>Дмитрий</v>
      </c>
      <c r="D200" t="str">
        <f ca="1">IFERROR(__xludf.DUMMYFUNCTION("""COMPUTED_VALUE"""),"Гимназия 698 пансион")</f>
        <v>Гимназия 698 пансион</v>
      </c>
      <c r="E200" s="5">
        <f ca="1">IFERROR(__xludf.DUMMYFUNCTION("""COMPUTED_VALUE"""),0)</f>
        <v>0</v>
      </c>
      <c r="F200" s="5">
        <f ca="1">IFERROR(__xludf.DUMMYFUNCTION("""COMPUTED_VALUE"""),1)</f>
        <v>1</v>
      </c>
      <c r="G200" s="5">
        <f ca="1">IFERROR(__xludf.DUMMYFUNCTION("""COMPUTED_VALUE"""),1)</f>
        <v>1</v>
      </c>
      <c r="H200" s="5">
        <f ca="1">IFERROR(__xludf.DUMMYFUNCTION("""COMPUTED_VALUE"""),0)</f>
        <v>0</v>
      </c>
      <c r="I200" s="5">
        <f ca="1">IFERROR(__xludf.DUMMYFUNCTION("""COMPUTED_VALUE"""),2)</f>
        <v>2</v>
      </c>
      <c r="J200" s="5">
        <f ca="1">IFERROR(__xludf.DUMMYFUNCTION("""COMPUTED_VALUE"""),0)</f>
        <v>0</v>
      </c>
      <c r="K200" s="5">
        <f ca="1">IFERROR(__xludf.DUMMYFUNCTION("""COMPUTED_VALUE"""),2)</f>
        <v>2</v>
      </c>
      <c r="L200" s="5">
        <f ca="1">IFERROR(__xludf.DUMMYFUNCTION("""COMPUTED_VALUE"""),0)</f>
        <v>0</v>
      </c>
      <c r="M200">
        <f ca="1">IFERROR(__xludf.DUMMYFUNCTION("""COMPUTED_VALUE"""),6)</f>
        <v>6</v>
      </c>
      <c r="N200" s="8"/>
    </row>
    <row r="201" spans="1:14" ht="12.45" hidden="1">
      <c r="A201" t="str">
        <f ca="1">IFERROR(__xludf.DUMMYFUNCTION("""COMPUTED_VALUE"""),"III-3-028")</f>
        <v>III-3-028</v>
      </c>
      <c r="B201" t="str">
        <f ca="1">IFERROR(__xludf.DUMMYFUNCTION("""COMPUTED_VALUE"""),"Баймеев")</f>
        <v>Баймеев</v>
      </c>
      <c r="C201" t="str">
        <f ca="1">IFERROR(__xludf.DUMMYFUNCTION("""COMPUTED_VALUE"""),"Кирилл")</f>
        <v>Кирилл</v>
      </c>
      <c r="D201" t="str">
        <f ca="1">IFERROR(__xludf.DUMMYFUNCTION("""COMPUTED_VALUE"""),"Школа 1")</f>
        <v>Школа 1</v>
      </c>
      <c r="E201" s="5">
        <f ca="1">IFERROR(__xludf.DUMMYFUNCTION("""COMPUTED_VALUE"""),1)</f>
        <v>1</v>
      </c>
      <c r="F201" s="5">
        <f ca="1">IFERROR(__xludf.DUMMYFUNCTION("""COMPUTED_VALUE"""),1)</f>
        <v>1</v>
      </c>
      <c r="G201" s="5">
        <f ca="1">IFERROR(__xludf.DUMMYFUNCTION("""COMPUTED_VALUE"""),1)</f>
        <v>1</v>
      </c>
      <c r="H201" s="5">
        <f ca="1">IFERROR(__xludf.DUMMYFUNCTION("""COMPUTED_VALUE"""),0)</f>
        <v>0</v>
      </c>
      <c r="I201" s="5">
        <f ca="1">IFERROR(__xludf.DUMMYFUNCTION("""COMPUTED_VALUE"""),2)</f>
        <v>2</v>
      </c>
      <c r="J201" s="5">
        <f ca="1">IFERROR(__xludf.DUMMYFUNCTION("""COMPUTED_VALUE"""),0)</f>
        <v>0</v>
      </c>
      <c r="K201" s="5">
        <f ca="1">IFERROR(__xludf.DUMMYFUNCTION("""COMPUTED_VALUE"""),1)</f>
        <v>1</v>
      </c>
      <c r="L201" s="5">
        <f ca="1">IFERROR(__xludf.DUMMYFUNCTION("""COMPUTED_VALUE"""),0)</f>
        <v>0</v>
      </c>
      <c r="M201">
        <f ca="1">IFERROR(__xludf.DUMMYFUNCTION("""COMPUTED_VALUE"""),6)</f>
        <v>6</v>
      </c>
      <c r="N201" s="8"/>
    </row>
    <row r="202" spans="1:14" ht="12.45" hidden="1">
      <c r="A202" t="str">
        <f ca="1">IFERROR(__xludf.DUMMYFUNCTION("""COMPUTED_VALUE"""),"V-3-510")</f>
        <v>V-3-510</v>
      </c>
      <c r="B202" t="str">
        <f ca="1">IFERROR(__xludf.DUMMYFUNCTION("""COMPUTED_VALUE"""),"Такин")</f>
        <v>Такин</v>
      </c>
      <c r="C202" t="str">
        <f ca="1">IFERROR(__xludf.DUMMYFUNCTION("""COMPUTED_VALUE"""),"Роман")</f>
        <v>Роман</v>
      </c>
      <c r="D202" t="str">
        <f ca="1">IFERROR(__xludf.DUMMYFUNCTION("""COMPUTED_VALUE"""),"Гимназия 70")</f>
        <v>Гимназия 70</v>
      </c>
      <c r="E202" s="5">
        <f ca="1">IFERROR(__xludf.DUMMYFUNCTION("""COMPUTED_VALUE"""),1)</f>
        <v>1</v>
      </c>
      <c r="F202" s="5">
        <f ca="1">IFERROR(__xludf.DUMMYFUNCTION("""COMPUTED_VALUE"""),2)</f>
        <v>2</v>
      </c>
      <c r="G202" s="5">
        <f ca="1">IFERROR(__xludf.DUMMYFUNCTION("""COMPUTED_VALUE"""),1)</f>
        <v>1</v>
      </c>
      <c r="H202" s="5">
        <f ca="1">IFERROR(__xludf.DUMMYFUNCTION("""COMPUTED_VALUE"""),0)</f>
        <v>0</v>
      </c>
      <c r="I202" s="5">
        <f ca="1">IFERROR(__xludf.DUMMYFUNCTION("""COMPUTED_VALUE"""),2)</f>
        <v>2</v>
      </c>
      <c r="J202" s="5">
        <f ca="1">IFERROR(__xludf.DUMMYFUNCTION("""COMPUTED_VALUE"""),0)</f>
        <v>0</v>
      </c>
      <c r="K202" s="5">
        <f ca="1">IFERROR(__xludf.DUMMYFUNCTION("""COMPUTED_VALUE"""),0)</f>
        <v>0</v>
      </c>
      <c r="L202" s="5">
        <f ca="1">IFERROR(__xludf.DUMMYFUNCTION("""COMPUTED_VALUE"""),0)</f>
        <v>0</v>
      </c>
      <c r="M202">
        <f ca="1">IFERROR(__xludf.DUMMYFUNCTION("""COMPUTED_VALUE"""),6)</f>
        <v>6</v>
      </c>
      <c r="N202" s="8"/>
    </row>
    <row r="203" spans="1:14" ht="12.45" hidden="1">
      <c r="A203" t="str">
        <f ca="1">IFERROR(__xludf.DUMMYFUNCTION("""COMPUTED_VALUE"""),"V-3-413")</f>
        <v>V-3-413</v>
      </c>
      <c r="B203" t="str">
        <f ca="1">IFERROR(__xludf.DUMMYFUNCTION("""COMPUTED_VALUE"""),"Подольский")</f>
        <v>Подольский</v>
      </c>
      <c r="C203" t="str">
        <f ca="1">IFERROR(__xludf.DUMMYFUNCTION("""COMPUTED_VALUE"""),"Дмитрий")</f>
        <v>Дмитрий</v>
      </c>
      <c r="D203" t="str">
        <f ca="1">IFERROR(__xludf.DUMMYFUNCTION("""COMPUTED_VALUE"""),"Лицей 9")</f>
        <v>Лицей 9</v>
      </c>
      <c r="E203" s="5">
        <f ca="1">IFERROR(__xludf.DUMMYFUNCTION("""COMPUTED_VALUE"""),0)</f>
        <v>0</v>
      </c>
      <c r="F203" s="5">
        <f ca="1">IFERROR(__xludf.DUMMYFUNCTION("""COMPUTED_VALUE"""),0)</f>
        <v>0</v>
      </c>
      <c r="G203" s="5">
        <f ca="1">IFERROR(__xludf.DUMMYFUNCTION("""COMPUTED_VALUE"""),2)</f>
        <v>2</v>
      </c>
      <c r="H203" s="5">
        <f ca="1">IFERROR(__xludf.DUMMYFUNCTION("""COMPUTED_VALUE"""),0)</f>
        <v>0</v>
      </c>
      <c r="I203" s="5">
        <f ca="1">IFERROR(__xludf.DUMMYFUNCTION("""COMPUTED_VALUE"""),2)</f>
        <v>2</v>
      </c>
      <c r="J203" s="5">
        <f ca="1">IFERROR(__xludf.DUMMYFUNCTION("""COMPUTED_VALUE"""),0)</f>
        <v>0</v>
      </c>
      <c r="K203" s="5">
        <f ca="1">IFERROR(__xludf.DUMMYFUNCTION("""COMPUTED_VALUE"""),2)</f>
        <v>2</v>
      </c>
      <c r="L203" s="5">
        <f ca="1">IFERROR(__xludf.DUMMYFUNCTION("""COMPUTED_VALUE"""),0)</f>
        <v>0</v>
      </c>
      <c r="M203">
        <f ca="1">IFERROR(__xludf.DUMMYFUNCTION("""COMPUTED_VALUE"""),6)</f>
        <v>6</v>
      </c>
      <c r="N203" s="8"/>
    </row>
    <row r="204" spans="1:14" ht="12.45" hidden="1">
      <c r="A204" t="str">
        <f ca="1">IFERROR(__xludf.DUMMYFUNCTION("""COMPUTED_VALUE"""),"III-3-197")</f>
        <v>III-3-197</v>
      </c>
      <c r="B204" t="str">
        <f ca="1">IFERROR(__xludf.DUMMYFUNCTION("""COMPUTED_VALUE"""),"Камышенко")</f>
        <v>Камышенко</v>
      </c>
      <c r="C204" t="str">
        <f ca="1">IFERROR(__xludf.DUMMYFUNCTION("""COMPUTED_VALUE"""),"Елизавета")</f>
        <v>Елизавета</v>
      </c>
      <c r="D204" t="str">
        <f ca="1">IFERROR(__xludf.DUMMYFUNCTION("""COMPUTED_VALUE"""),"Школа 534")</f>
        <v>Школа 534</v>
      </c>
      <c r="E204" s="5">
        <f ca="1">IFERROR(__xludf.DUMMYFUNCTION("""COMPUTED_VALUE"""),0)</f>
        <v>0</v>
      </c>
      <c r="F204" s="5">
        <f ca="1">IFERROR(__xludf.DUMMYFUNCTION("""COMPUTED_VALUE"""),2)</f>
        <v>2</v>
      </c>
      <c r="G204" s="5">
        <f ca="1">IFERROR(__xludf.DUMMYFUNCTION("""COMPUTED_VALUE"""),1)</f>
        <v>1</v>
      </c>
      <c r="H204" s="5">
        <f ca="1">IFERROR(__xludf.DUMMYFUNCTION("""COMPUTED_VALUE"""),0)</f>
        <v>0</v>
      </c>
      <c r="I204" s="5">
        <f ca="1">IFERROR(__xludf.DUMMYFUNCTION("""COMPUTED_VALUE"""),2)</f>
        <v>2</v>
      </c>
      <c r="J204" s="5">
        <f ca="1">IFERROR(__xludf.DUMMYFUNCTION("""COMPUTED_VALUE"""),0)</f>
        <v>0</v>
      </c>
      <c r="K204" s="5">
        <f ca="1">IFERROR(__xludf.DUMMYFUNCTION("""COMPUTED_VALUE"""),1)</f>
        <v>1</v>
      </c>
      <c r="L204" s="5">
        <f ca="1">IFERROR(__xludf.DUMMYFUNCTION("""COMPUTED_VALUE"""),0)</f>
        <v>0</v>
      </c>
      <c r="M204">
        <f ca="1">IFERROR(__xludf.DUMMYFUNCTION("""COMPUTED_VALUE"""),6)</f>
        <v>6</v>
      </c>
      <c r="N204" s="8"/>
    </row>
    <row r="205" spans="1:14" ht="12.45" hidden="1">
      <c r="A205" t="str">
        <f ca="1">IFERROR(__xludf.DUMMYFUNCTION("""COMPUTED_VALUE"""),"III-3-133")</f>
        <v>III-3-133</v>
      </c>
      <c r="B205" t="str">
        <f ca="1">IFERROR(__xludf.DUMMYFUNCTION("""COMPUTED_VALUE"""),"Дробаченко")</f>
        <v>Дробаченко</v>
      </c>
      <c r="C205" t="str">
        <f ca="1">IFERROR(__xludf.DUMMYFUNCTION("""COMPUTED_VALUE"""),"Таисия")</f>
        <v>Таисия</v>
      </c>
      <c r="D205" t="str">
        <f ca="1">IFERROR(__xludf.DUMMYFUNCTION("""COMPUTED_VALUE"""),"Школа 160")</f>
        <v>Школа 160</v>
      </c>
      <c r="E205" s="5">
        <f ca="1">IFERROR(__xludf.DUMMYFUNCTION("""COMPUTED_VALUE"""),2)</f>
        <v>2</v>
      </c>
      <c r="F205" s="5">
        <f ca="1">IFERROR(__xludf.DUMMYFUNCTION("""COMPUTED_VALUE"""),0)</f>
        <v>0</v>
      </c>
      <c r="G205" s="5">
        <f ca="1">IFERROR(__xludf.DUMMYFUNCTION("""COMPUTED_VALUE"""),1)</f>
        <v>1</v>
      </c>
      <c r="H205" s="5">
        <f ca="1">IFERROR(__xludf.DUMMYFUNCTION("""COMPUTED_VALUE"""),0)</f>
        <v>0</v>
      </c>
      <c r="I205" s="5">
        <f ca="1">IFERROR(__xludf.DUMMYFUNCTION("""COMPUTED_VALUE"""),2)</f>
        <v>2</v>
      </c>
      <c r="J205" s="5">
        <f ca="1">IFERROR(__xludf.DUMMYFUNCTION("""COMPUTED_VALUE"""),0)</f>
        <v>0</v>
      </c>
      <c r="K205" s="5">
        <f ca="1">IFERROR(__xludf.DUMMYFUNCTION("""COMPUTED_VALUE"""),1)</f>
        <v>1</v>
      </c>
      <c r="L205" s="5">
        <f ca="1">IFERROR(__xludf.DUMMYFUNCTION("""COMPUTED_VALUE"""),0)</f>
        <v>0</v>
      </c>
      <c r="M205">
        <f ca="1">IFERROR(__xludf.DUMMYFUNCTION("""COMPUTED_VALUE"""),6)</f>
        <v>6</v>
      </c>
      <c r="N205" s="8"/>
    </row>
    <row r="206" spans="1:14" ht="12.45" hidden="1">
      <c r="A206" t="str">
        <f ca="1">IFERROR(__xludf.DUMMYFUNCTION("""COMPUTED_VALUE"""),"III-3-040")</f>
        <v>III-3-040</v>
      </c>
      <c r="B206" t="str">
        <f ca="1">IFERROR(__xludf.DUMMYFUNCTION("""COMPUTED_VALUE"""),"Белов")</f>
        <v>Белов</v>
      </c>
      <c r="C206" t="str">
        <f ca="1">IFERROR(__xludf.DUMMYFUNCTION("""COMPUTED_VALUE"""),"Константин")</f>
        <v>Константин</v>
      </c>
      <c r="D206" t="str">
        <f ca="1">IFERROR(__xludf.DUMMYFUNCTION("""COMPUTED_VALUE"""),"Школа 605")</f>
        <v>Школа 605</v>
      </c>
      <c r="E206" s="5">
        <f ca="1">IFERROR(__xludf.DUMMYFUNCTION("""COMPUTED_VALUE"""),3)</f>
        <v>3</v>
      </c>
      <c r="F206" s="5">
        <f ca="1">IFERROR(__xludf.DUMMYFUNCTION("""COMPUTED_VALUE"""),0)</f>
        <v>0</v>
      </c>
      <c r="G206" s="5">
        <f ca="1">IFERROR(__xludf.DUMMYFUNCTION("""COMPUTED_VALUE"""),1)</f>
        <v>1</v>
      </c>
      <c r="H206" s="5">
        <f ca="1">IFERROR(__xludf.DUMMYFUNCTION("""COMPUTED_VALUE"""),0)</f>
        <v>0</v>
      </c>
      <c r="I206" s="5">
        <f ca="1">IFERROR(__xludf.DUMMYFUNCTION("""COMPUTED_VALUE"""),2)</f>
        <v>2</v>
      </c>
      <c r="J206" s="5">
        <f ca="1">IFERROR(__xludf.DUMMYFUNCTION("""COMPUTED_VALUE"""),0)</f>
        <v>0</v>
      </c>
      <c r="K206" s="5">
        <f ca="1">IFERROR(__xludf.DUMMYFUNCTION("""COMPUTED_VALUE"""),0)</f>
        <v>0</v>
      </c>
      <c r="L206" s="5">
        <f ca="1">IFERROR(__xludf.DUMMYFUNCTION("""COMPUTED_VALUE"""),0)</f>
        <v>0</v>
      </c>
      <c r="M206">
        <f ca="1">IFERROR(__xludf.DUMMYFUNCTION("""COMPUTED_VALUE"""),6)</f>
        <v>6</v>
      </c>
      <c r="N206" s="8"/>
    </row>
    <row r="207" spans="1:14" ht="12.45" hidden="1">
      <c r="A207" t="str">
        <f ca="1">IFERROR(__xludf.DUMMYFUNCTION("""COMPUTED_VALUE"""),"V-3-499")</f>
        <v>V-3-499</v>
      </c>
      <c r="B207" t="str">
        <f ca="1">IFERROR(__xludf.DUMMYFUNCTION("""COMPUTED_VALUE"""),"Стрельцова")</f>
        <v>Стрельцова</v>
      </c>
      <c r="C207" t="str">
        <f ca="1">IFERROR(__xludf.DUMMYFUNCTION("""COMPUTED_VALUE"""),"Алёна")</f>
        <v>Алёна</v>
      </c>
      <c r="D207" t="str">
        <f ca="1">IFERROR(__xludf.DUMMYFUNCTION("""COMPUTED_VALUE"""),"Школа 605")</f>
        <v>Школа 605</v>
      </c>
      <c r="E207" s="5">
        <f ca="1">IFERROR(__xludf.DUMMYFUNCTION("""COMPUTED_VALUE"""),0)</f>
        <v>0</v>
      </c>
      <c r="F207" s="5">
        <f ca="1">IFERROR(__xludf.DUMMYFUNCTION("""COMPUTED_VALUE"""),0)</f>
        <v>0</v>
      </c>
      <c r="G207" s="5">
        <f ca="1">IFERROR(__xludf.DUMMYFUNCTION("""COMPUTED_VALUE"""),1)</f>
        <v>1</v>
      </c>
      <c r="H207" s="5">
        <f ca="1">IFERROR(__xludf.DUMMYFUNCTION("""COMPUTED_VALUE"""),2)</f>
        <v>2</v>
      </c>
      <c r="I207" s="5">
        <f ca="1">IFERROR(__xludf.DUMMYFUNCTION("""COMPUTED_VALUE"""),2)</f>
        <v>2</v>
      </c>
      <c r="J207" s="5">
        <f ca="1">IFERROR(__xludf.DUMMYFUNCTION("""COMPUTED_VALUE"""),1)</f>
        <v>1</v>
      </c>
      <c r="K207" s="5">
        <f ca="1">IFERROR(__xludf.DUMMYFUNCTION("""COMPUTED_VALUE"""),0)</f>
        <v>0</v>
      </c>
      <c r="L207" s="5">
        <f ca="1">IFERROR(__xludf.DUMMYFUNCTION("""COMPUTED_VALUE"""),0)</f>
        <v>0</v>
      </c>
      <c r="M207">
        <f ca="1">IFERROR(__xludf.DUMMYFUNCTION("""COMPUTED_VALUE"""),6)</f>
        <v>6</v>
      </c>
      <c r="N207" s="8"/>
    </row>
    <row r="208" spans="1:14" ht="12.45" hidden="1">
      <c r="A208" t="str">
        <f ca="1">IFERROR(__xludf.DUMMYFUNCTION("""COMPUTED_VALUE"""),"V-3-541")</f>
        <v>V-3-541</v>
      </c>
      <c r="B208" t="str">
        <f ca="1">IFERROR(__xludf.DUMMYFUNCTION("""COMPUTED_VALUE"""),"Федоров")</f>
        <v>Федоров</v>
      </c>
      <c r="C208" t="str">
        <f ca="1">IFERROR(__xludf.DUMMYFUNCTION("""COMPUTED_VALUE"""),"Владислав")</f>
        <v>Владислав</v>
      </c>
      <c r="D208" t="str">
        <f ca="1">IFERROR(__xludf.DUMMYFUNCTION("""COMPUTED_VALUE"""),"Лицей 470")</f>
        <v>Лицей 470</v>
      </c>
      <c r="E208" s="5">
        <f ca="1">IFERROR(__xludf.DUMMYFUNCTION("""COMPUTED_VALUE"""),0)</f>
        <v>0</v>
      </c>
      <c r="F208" s="5">
        <f ca="1">IFERROR(__xludf.DUMMYFUNCTION("""COMPUTED_VALUE"""),0)</f>
        <v>0</v>
      </c>
      <c r="G208" s="5">
        <f ca="1">IFERROR(__xludf.DUMMYFUNCTION("""COMPUTED_VALUE"""),3)</f>
        <v>3</v>
      </c>
      <c r="H208" s="5">
        <f ca="1">IFERROR(__xludf.DUMMYFUNCTION("""COMPUTED_VALUE"""),0)</f>
        <v>0</v>
      </c>
      <c r="I208" s="5">
        <f ca="1">IFERROR(__xludf.DUMMYFUNCTION("""COMPUTED_VALUE"""),1)</f>
        <v>1</v>
      </c>
      <c r="J208" s="5">
        <f ca="1">IFERROR(__xludf.DUMMYFUNCTION("""COMPUTED_VALUE"""),0)</f>
        <v>0</v>
      </c>
      <c r="K208" s="5">
        <f ca="1">IFERROR(__xludf.DUMMYFUNCTION("""COMPUTED_VALUE"""),1)</f>
        <v>1</v>
      </c>
      <c r="L208" s="5">
        <f ca="1">IFERROR(__xludf.DUMMYFUNCTION("""COMPUTED_VALUE"""),1)</f>
        <v>1</v>
      </c>
      <c r="M208">
        <f ca="1">IFERROR(__xludf.DUMMYFUNCTION("""COMPUTED_VALUE"""),6)</f>
        <v>6</v>
      </c>
      <c r="N208" s="8"/>
    </row>
    <row r="209" spans="1:14" ht="12.45" hidden="1">
      <c r="A209" t="str">
        <f ca="1">IFERROR(__xludf.DUMMYFUNCTION("""COMPUTED_VALUE"""),"V-3-526")</f>
        <v>V-3-526</v>
      </c>
      <c r="B209" t="str">
        <f ca="1">IFERROR(__xludf.DUMMYFUNCTION("""COMPUTED_VALUE"""),"Трубечкова")</f>
        <v>Трубечкова</v>
      </c>
      <c r="C209" t="str">
        <f ca="1">IFERROR(__xludf.DUMMYFUNCTION("""COMPUTED_VALUE"""),"Валерия")</f>
        <v>Валерия</v>
      </c>
      <c r="D209" t="str">
        <f ca="1">IFERROR(__xludf.DUMMYFUNCTION("""COMPUTED_VALUE"""),"Гимназия 524")</f>
        <v>Гимназия 524</v>
      </c>
      <c r="E209" s="5">
        <f ca="1">IFERROR(__xludf.DUMMYFUNCTION("""COMPUTED_VALUE"""),1)</f>
        <v>1</v>
      </c>
      <c r="F209" s="5">
        <f ca="1">IFERROR(__xludf.DUMMYFUNCTION("""COMPUTED_VALUE"""),0)</f>
        <v>0</v>
      </c>
      <c r="G209" s="5">
        <f ca="1">IFERROR(__xludf.DUMMYFUNCTION("""COMPUTED_VALUE"""),1)</f>
        <v>1</v>
      </c>
      <c r="H209" s="5">
        <f ca="1">IFERROR(__xludf.DUMMYFUNCTION("""COMPUTED_VALUE"""),0)</f>
        <v>0</v>
      </c>
      <c r="I209" s="5">
        <f ca="1">IFERROR(__xludf.DUMMYFUNCTION("""COMPUTED_VALUE"""),1)</f>
        <v>1</v>
      </c>
      <c r="J209" s="5">
        <f ca="1">IFERROR(__xludf.DUMMYFUNCTION("""COMPUTED_VALUE"""),1)</f>
        <v>1</v>
      </c>
      <c r="K209" s="5">
        <f ca="1">IFERROR(__xludf.DUMMYFUNCTION("""COMPUTED_VALUE"""),1)</f>
        <v>1</v>
      </c>
      <c r="L209" s="5">
        <f ca="1">IFERROR(__xludf.DUMMYFUNCTION("""COMPUTED_VALUE"""),1)</f>
        <v>1</v>
      </c>
      <c r="M209">
        <f ca="1">IFERROR(__xludf.DUMMYFUNCTION("""COMPUTED_VALUE"""),6)</f>
        <v>6</v>
      </c>
      <c r="N209" s="8"/>
    </row>
    <row r="210" spans="1:14" ht="12.45" hidden="1">
      <c r="A210" t="str">
        <f ca="1">IFERROR(__xludf.DUMMYFUNCTION("""COMPUTED_VALUE"""),"III-3-297")</f>
        <v>III-3-297</v>
      </c>
      <c r="B210" t="str">
        <f ca="1">IFERROR(__xludf.DUMMYFUNCTION("""COMPUTED_VALUE"""),"Ломоносов")</f>
        <v>Ломоносов</v>
      </c>
      <c r="C210" t="str">
        <f ca="1">IFERROR(__xludf.DUMMYFUNCTION("""COMPUTED_VALUE"""),"Федор")</f>
        <v>Федор</v>
      </c>
      <c r="D210" t="str">
        <f ca="1">IFERROR(__xludf.DUMMYFUNCTION("""COMPUTED_VALUE"""),"Лицей 344")</f>
        <v>Лицей 344</v>
      </c>
      <c r="E210" s="5">
        <f ca="1">IFERROR(__xludf.DUMMYFUNCTION("""COMPUTED_VALUE"""),0)</f>
        <v>0</v>
      </c>
      <c r="F210" s="5">
        <f ca="1">IFERROR(__xludf.DUMMYFUNCTION("""COMPUTED_VALUE"""),0)</f>
        <v>0</v>
      </c>
      <c r="G210" s="5">
        <f ca="1">IFERROR(__xludf.DUMMYFUNCTION("""COMPUTED_VALUE"""),1)</f>
        <v>1</v>
      </c>
      <c r="H210" s="5">
        <f ca="1">IFERROR(__xludf.DUMMYFUNCTION("""COMPUTED_VALUE"""),0)</f>
        <v>0</v>
      </c>
      <c r="I210" s="5">
        <f ca="1">IFERROR(__xludf.DUMMYFUNCTION("""COMPUTED_VALUE"""),1)</f>
        <v>1</v>
      </c>
      <c r="J210" s="5">
        <f ca="1">IFERROR(__xludf.DUMMYFUNCTION("""COMPUTED_VALUE"""),2)</f>
        <v>2</v>
      </c>
      <c r="K210" s="5">
        <f ca="1">IFERROR(__xludf.DUMMYFUNCTION("""COMPUTED_VALUE"""),0)</f>
        <v>0</v>
      </c>
      <c r="L210" s="5">
        <f ca="1">IFERROR(__xludf.DUMMYFUNCTION("""COMPUTED_VALUE"""),2)</f>
        <v>2</v>
      </c>
      <c r="M210">
        <f ca="1">IFERROR(__xludf.DUMMYFUNCTION("""COMPUTED_VALUE"""),6)</f>
        <v>6</v>
      </c>
      <c r="N210" s="8"/>
    </row>
    <row r="211" spans="1:14" ht="12.45" hidden="1">
      <c r="A211" t="str">
        <f ca="1">IFERROR(__xludf.DUMMYFUNCTION("""COMPUTED_VALUE"""),"V-3-596")</f>
        <v>V-3-596</v>
      </c>
      <c r="B211" t="str">
        <f ca="1">IFERROR(__xludf.DUMMYFUNCTION("""COMPUTED_VALUE"""),"Якуненков")</f>
        <v>Якуненков</v>
      </c>
      <c r="C211" t="str">
        <f ca="1">IFERROR(__xludf.DUMMYFUNCTION("""COMPUTED_VALUE"""),"Юрий")</f>
        <v>Юрий</v>
      </c>
      <c r="D211" t="str">
        <f ca="1">IFERROR(__xludf.DUMMYFUNCTION("""COMPUTED_VALUE"""),"Школа 320")</f>
        <v>Школа 320</v>
      </c>
      <c r="E211" s="5">
        <f ca="1">IFERROR(__xludf.DUMMYFUNCTION("""COMPUTED_VALUE"""),0)</f>
        <v>0</v>
      </c>
      <c r="F211" s="5">
        <f ca="1">IFERROR(__xludf.DUMMYFUNCTION("""COMPUTED_VALUE"""),2)</f>
        <v>2</v>
      </c>
      <c r="G211" s="5">
        <f ca="1">IFERROR(__xludf.DUMMYFUNCTION("""COMPUTED_VALUE"""),2)</f>
        <v>2</v>
      </c>
      <c r="H211" s="5">
        <f ca="1">IFERROR(__xludf.DUMMYFUNCTION("""COMPUTED_VALUE"""),0)</f>
        <v>0</v>
      </c>
      <c r="I211" s="5">
        <f ca="1">IFERROR(__xludf.DUMMYFUNCTION("""COMPUTED_VALUE"""),0)</f>
        <v>0</v>
      </c>
      <c r="J211" s="5">
        <f ca="1">IFERROR(__xludf.DUMMYFUNCTION("""COMPUTED_VALUE"""),0)</f>
        <v>0</v>
      </c>
      <c r="K211" s="5">
        <f ca="1">IFERROR(__xludf.DUMMYFUNCTION("""COMPUTED_VALUE"""),2)</f>
        <v>2</v>
      </c>
      <c r="L211" s="5">
        <f ca="1">IFERROR(__xludf.DUMMYFUNCTION("""COMPUTED_VALUE"""),0)</f>
        <v>0</v>
      </c>
      <c r="M211">
        <f ca="1">IFERROR(__xludf.DUMMYFUNCTION("""COMPUTED_VALUE"""),6)</f>
        <v>6</v>
      </c>
      <c r="N211" s="8"/>
    </row>
    <row r="212" spans="1:14" ht="12.45" hidden="1">
      <c r="A212" t="str">
        <f ca="1">IFERROR(__xludf.DUMMYFUNCTION("""COMPUTED_VALUE"""),"V-3-331")</f>
        <v>V-3-331</v>
      </c>
      <c r="B212" t="str">
        <f ca="1">IFERROR(__xludf.DUMMYFUNCTION("""COMPUTED_VALUE"""),"Миалович")</f>
        <v>Миалович</v>
      </c>
      <c r="C212" t="str">
        <f ca="1">IFERROR(__xludf.DUMMYFUNCTION("""COMPUTED_VALUE"""),"Дмитрий")</f>
        <v>Дмитрий</v>
      </c>
      <c r="D212" t="str">
        <f ca="1">IFERROR(__xludf.DUMMYFUNCTION("""COMPUTED_VALUE"""),"Школа 601")</f>
        <v>Школа 601</v>
      </c>
      <c r="E212" s="5">
        <f ca="1">IFERROR(__xludf.DUMMYFUNCTION("""COMPUTED_VALUE"""),0)</f>
        <v>0</v>
      </c>
      <c r="F212" s="5">
        <f ca="1">IFERROR(__xludf.DUMMYFUNCTION("""COMPUTED_VALUE"""),2)</f>
        <v>2</v>
      </c>
      <c r="G212" s="5">
        <f ca="1">IFERROR(__xludf.DUMMYFUNCTION("""COMPUTED_VALUE"""),1)</f>
        <v>1</v>
      </c>
      <c r="H212" s="5">
        <f ca="1">IFERROR(__xludf.DUMMYFUNCTION("""COMPUTED_VALUE"""),2)</f>
        <v>2</v>
      </c>
      <c r="I212" s="5">
        <f ca="1">IFERROR(__xludf.DUMMYFUNCTION("""COMPUTED_VALUE"""),0)</f>
        <v>0</v>
      </c>
      <c r="J212" s="5">
        <f ca="1">IFERROR(__xludf.DUMMYFUNCTION("""COMPUTED_VALUE"""),0)</f>
        <v>0</v>
      </c>
      <c r="K212" s="5">
        <f ca="1">IFERROR(__xludf.DUMMYFUNCTION("""COMPUTED_VALUE"""),1)</f>
        <v>1</v>
      </c>
      <c r="L212" s="5">
        <f ca="1">IFERROR(__xludf.DUMMYFUNCTION("""COMPUTED_VALUE"""),0)</f>
        <v>0</v>
      </c>
      <c r="M212">
        <f ca="1">IFERROR(__xludf.DUMMYFUNCTION("""COMPUTED_VALUE"""),6)</f>
        <v>6</v>
      </c>
      <c r="N212" s="8"/>
    </row>
    <row r="213" spans="1:14" ht="12.45" hidden="1">
      <c r="A213" t="str">
        <f ca="1">IFERROR(__xludf.DUMMYFUNCTION("""COMPUTED_VALUE"""),"V-3-464")</f>
        <v>V-3-464</v>
      </c>
      <c r="B213" t="str">
        <f ca="1">IFERROR(__xludf.DUMMYFUNCTION("""COMPUTED_VALUE"""),"Сафонкин")</f>
        <v>Сафонкин</v>
      </c>
      <c r="C213" t="str">
        <f ca="1">IFERROR(__xludf.DUMMYFUNCTION("""COMPUTED_VALUE"""),"Владислав")</f>
        <v>Владислав</v>
      </c>
      <c r="D213" t="str">
        <f ca="1">IFERROR(__xludf.DUMMYFUNCTION("""COMPUTED_VALUE"""),"Лицей 590")</f>
        <v>Лицей 590</v>
      </c>
      <c r="E213" s="5">
        <f ca="1">IFERROR(__xludf.DUMMYFUNCTION("""COMPUTED_VALUE"""),0)</f>
        <v>0</v>
      </c>
      <c r="F213" s="5">
        <f ca="1">IFERROR(__xludf.DUMMYFUNCTION("""COMPUTED_VALUE"""),2)</f>
        <v>2</v>
      </c>
      <c r="G213" s="5">
        <f ca="1">IFERROR(__xludf.DUMMYFUNCTION("""COMPUTED_VALUE"""),3)</f>
        <v>3</v>
      </c>
      <c r="H213" s="5">
        <f ca="1">IFERROR(__xludf.DUMMYFUNCTION("""COMPUTED_VALUE"""),0)</f>
        <v>0</v>
      </c>
      <c r="I213" s="5">
        <f ca="1">IFERROR(__xludf.DUMMYFUNCTION("""COMPUTED_VALUE"""),0)</f>
        <v>0</v>
      </c>
      <c r="J213" s="5">
        <f ca="1">IFERROR(__xludf.DUMMYFUNCTION("""COMPUTED_VALUE"""),1)</f>
        <v>1</v>
      </c>
      <c r="K213" s="5">
        <f ca="1">IFERROR(__xludf.DUMMYFUNCTION("""COMPUTED_VALUE"""),0)</f>
        <v>0</v>
      </c>
      <c r="L213" s="5">
        <f ca="1">IFERROR(__xludf.DUMMYFUNCTION("""COMPUTED_VALUE"""),0)</f>
        <v>0</v>
      </c>
      <c r="M213">
        <f ca="1">IFERROR(__xludf.DUMMYFUNCTION("""COMPUTED_VALUE"""),6)</f>
        <v>6</v>
      </c>
      <c r="N213" s="8"/>
    </row>
    <row r="214" spans="1:14" ht="12.45" hidden="1">
      <c r="A214" t="str">
        <f ca="1">IFERROR(__xludf.DUMMYFUNCTION("""COMPUTED_VALUE"""),"V-3-592")</f>
        <v>V-3-592</v>
      </c>
      <c r="B214" t="str">
        <f ca="1">IFERROR(__xludf.DUMMYFUNCTION("""COMPUTED_VALUE"""),"Юшкевич")</f>
        <v>Юшкевич</v>
      </c>
      <c r="C214" t="str">
        <f ca="1">IFERROR(__xludf.DUMMYFUNCTION("""COMPUTED_VALUE"""),"Стефания")</f>
        <v>Стефания</v>
      </c>
      <c r="D214" t="str">
        <f ca="1">IFERROR(__xludf.DUMMYFUNCTION("""COMPUTED_VALUE"""),"Гимназия 526")</f>
        <v>Гимназия 526</v>
      </c>
      <c r="E214" s="5">
        <f ca="1">IFERROR(__xludf.DUMMYFUNCTION("""COMPUTED_VALUE"""),0)</f>
        <v>0</v>
      </c>
      <c r="F214" s="5">
        <f ca="1">IFERROR(__xludf.DUMMYFUNCTION("""COMPUTED_VALUE"""),2)</f>
        <v>2</v>
      </c>
      <c r="G214" s="5">
        <f ca="1">IFERROR(__xludf.DUMMYFUNCTION("""COMPUTED_VALUE"""),3)</f>
        <v>3</v>
      </c>
      <c r="H214" s="5">
        <f ca="1">IFERROR(__xludf.DUMMYFUNCTION("""COMPUTED_VALUE"""),0)</f>
        <v>0</v>
      </c>
      <c r="I214" s="5">
        <f ca="1">IFERROR(__xludf.DUMMYFUNCTION("""COMPUTED_VALUE"""),0)</f>
        <v>0</v>
      </c>
      <c r="J214" s="5">
        <f ca="1">IFERROR(__xludf.DUMMYFUNCTION("""COMPUTED_VALUE"""),0)</f>
        <v>0</v>
      </c>
      <c r="K214" s="5">
        <f ca="1">IFERROR(__xludf.DUMMYFUNCTION("""COMPUTED_VALUE"""),1)</f>
        <v>1</v>
      </c>
      <c r="L214" s="5">
        <f ca="1">IFERROR(__xludf.DUMMYFUNCTION("""COMPUTED_VALUE"""),0)</f>
        <v>0</v>
      </c>
      <c r="M214">
        <f ca="1">IFERROR(__xludf.DUMMYFUNCTION("""COMPUTED_VALUE"""),6)</f>
        <v>6</v>
      </c>
      <c r="N214" s="8"/>
    </row>
    <row r="215" spans="1:14" ht="12.45" hidden="1">
      <c r="A215" t="str">
        <f ca="1">IFERROR(__xludf.DUMMYFUNCTION("""COMPUTED_VALUE"""),"III-3-114")</f>
        <v>III-3-114</v>
      </c>
      <c r="B215" t="str">
        <f ca="1">IFERROR(__xludf.DUMMYFUNCTION("""COMPUTED_VALUE"""),"Григорьев")</f>
        <v>Григорьев</v>
      </c>
      <c r="C215" t="str">
        <f ca="1">IFERROR(__xludf.DUMMYFUNCTION("""COMPUTED_VALUE"""),"Владимир")</f>
        <v>Владимир</v>
      </c>
      <c r="D215" t="str">
        <f ca="1">IFERROR(__xludf.DUMMYFUNCTION("""COMPUTED_VALUE"""),"Лицей 344")</f>
        <v>Лицей 344</v>
      </c>
      <c r="E215" s="5">
        <f ca="1">IFERROR(__xludf.DUMMYFUNCTION("""COMPUTED_VALUE"""),1)</f>
        <v>1</v>
      </c>
      <c r="F215" s="5">
        <f ca="1">IFERROR(__xludf.DUMMYFUNCTION("""COMPUTED_VALUE"""),0)</f>
        <v>0</v>
      </c>
      <c r="G215" s="5">
        <f ca="1">IFERROR(__xludf.DUMMYFUNCTION("""COMPUTED_VALUE"""),0)</f>
        <v>0</v>
      </c>
      <c r="H215" s="5">
        <f ca="1">IFERROR(__xludf.DUMMYFUNCTION("""COMPUTED_VALUE"""),4)</f>
        <v>4</v>
      </c>
      <c r="I215" s="5">
        <f ca="1">IFERROR(__xludf.DUMMYFUNCTION("""COMPUTED_VALUE"""),0)</f>
        <v>0</v>
      </c>
      <c r="J215" s="5">
        <f ca="1">IFERROR(__xludf.DUMMYFUNCTION("""COMPUTED_VALUE"""),0)</f>
        <v>0</v>
      </c>
      <c r="K215" s="5">
        <f ca="1">IFERROR(__xludf.DUMMYFUNCTION("""COMPUTED_VALUE"""),1)</f>
        <v>1</v>
      </c>
      <c r="L215" s="5">
        <f ca="1">IFERROR(__xludf.DUMMYFUNCTION("""COMPUTED_VALUE"""),0)</f>
        <v>0</v>
      </c>
      <c r="M215">
        <f ca="1">IFERROR(__xludf.DUMMYFUNCTION("""COMPUTED_VALUE"""),6)</f>
        <v>6</v>
      </c>
      <c r="N215" s="8"/>
    </row>
    <row r="216" spans="1:14" ht="12.45" hidden="1">
      <c r="A216" t="str">
        <f ca="1">IFERROR(__xludf.DUMMYFUNCTION("""COMPUTED_VALUE"""),"III-3-110")</f>
        <v>III-3-110</v>
      </c>
      <c r="B216" t="str">
        <f ca="1">IFERROR(__xludf.DUMMYFUNCTION("""COMPUTED_VALUE"""),"Гордеева")</f>
        <v>Гордеева</v>
      </c>
      <c r="C216" t="str">
        <f ca="1">IFERROR(__xludf.DUMMYFUNCTION("""COMPUTED_VALUE"""),"Катерина")</f>
        <v>Катерина</v>
      </c>
      <c r="D216" t="str">
        <f ca="1">IFERROR(__xludf.DUMMYFUNCTION("""COMPUTED_VALUE"""),"Лицей 470")</f>
        <v>Лицей 470</v>
      </c>
      <c r="E216" s="5">
        <f ca="1">IFERROR(__xludf.DUMMYFUNCTION("""COMPUTED_VALUE"""),0)</f>
        <v>0</v>
      </c>
      <c r="F216" s="5">
        <f ca="1">IFERROR(__xludf.DUMMYFUNCTION("""COMPUTED_VALUE"""),2)</f>
        <v>2</v>
      </c>
      <c r="G216" s="5">
        <f ca="1">IFERROR(__xludf.DUMMYFUNCTION("""COMPUTED_VALUE"""),1)</f>
        <v>1</v>
      </c>
      <c r="H216" s="5">
        <f ca="1">IFERROR(__xludf.DUMMYFUNCTION("""COMPUTED_VALUE"""),0)</f>
        <v>0</v>
      </c>
      <c r="I216" s="5">
        <f ca="1">IFERROR(__xludf.DUMMYFUNCTION("""COMPUTED_VALUE"""),0)</f>
        <v>0</v>
      </c>
      <c r="J216" s="5">
        <f ca="1">IFERROR(__xludf.DUMMYFUNCTION("""COMPUTED_VALUE"""),1)</f>
        <v>1</v>
      </c>
      <c r="K216" s="5">
        <f ca="1">IFERROR(__xludf.DUMMYFUNCTION("""COMPUTED_VALUE"""),2)</f>
        <v>2</v>
      </c>
      <c r="L216" s="5">
        <f ca="1">IFERROR(__xludf.DUMMYFUNCTION("""COMPUTED_VALUE"""),0)</f>
        <v>0</v>
      </c>
      <c r="M216">
        <f ca="1">IFERROR(__xludf.DUMMYFUNCTION("""COMPUTED_VALUE"""),6)</f>
        <v>6</v>
      </c>
      <c r="N216" s="8"/>
    </row>
    <row r="217" spans="1:14" ht="12.45" hidden="1">
      <c r="A217" t="str">
        <f ca="1">IFERROR(__xludf.DUMMYFUNCTION("""COMPUTED_VALUE"""),"III-3-144")</f>
        <v>III-3-144</v>
      </c>
      <c r="B217" t="str">
        <f ca="1">IFERROR(__xludf.DUMMYFUNCTION("""COMPUTED_VALUE"""),"Ефимова")</f>
        <v>Ефимова</v>
      </c>
      <c r="C217" t="str">
        <f ca="1">IFERROR(__xludf.DUMMYFUNCTION("""COMPUTED_VALUE"""),"Дарья")</f>
        <v>Дарья</v>
      </c>
      <c r="D217" t="str">
        <f ca="1">IFERROR(__xludf.DUMMYFUNCTION("""COMPUTED_VALUE"""),"Школа 1")</f>
        <v>Школа 1</v>
      </c>
      <c r="E217" s="5">
        <f ca="1">IFERROR(__xludf.DUMMYFUNCTION("""COMPUTED_VALUE"""),0)</f>
        <v>0</v>
      </c>
      <c r="F217" s="5">
        <f ca="1">IFERROR(__xludf.DUMMYFUNCTION("""COMPUTED_VALUE"""),1)</f>
        <v>1</v>
      </c>
      <c r="G217" s="5">
        <f ca="1">IFERROR(__xludf.DUMMYFUNCTION("""COMPUTED_VALUE"""),1)</f>
        <v>1</v>
      </c>
      <c r="H217" s="5">
        <f ca="1">IFERROR(__xludf.DUMMYFUNCTION("""COMPUTED_VALUE"""),0)</f>
        <v>0</v>
      </c>
      <c r="I217" s="5">
        <f ca="1">IFERROR(__xludf.DUMMYFUNCTION("""COMPUTED_VALUE"""),0)</f>
        <v>0</v>
      </c>
      <c r="J217" s="5">
        <f ca="1">IFERROR(__xludf.DUMMYFUNCTION("""COMPUTED_VALUE"""),2)</f>
        <v>2</v>
      </c>
      <c r="K217" s="5">
        <f ca="1">IFERROR(__xludf.DUMMYFUNCTION("""COMPUTED_VALUE"""),2)</f>
        <v>2</v>
      </c>
      <c r="L217" s="5">
        <f ca="1">IFERROR(__xludf.DUMMYFUNCTION("""COMPUTED_VALUE"""),0)</f>
        <v>0</v>
      </c>
      <c r="M217">
        <f ca="1">IFERROR(__xludf.DUMMYFUNCTION("""COMPUTED_VALUE"""),6)</f>
        <v>6</v>
      </c>
      <c r="N217" s="8"/>
    </row>
    <row r="218" spans="1:14" ht="12.45" hidden="1">
      <c r="A218" t="str">
        <f ca="1">IFERROR(__xludf.DUMMYFUNCTION("""COMPUTED_VALUE"""),"V-3-520")</f>
        <v>V-3-520</v>
      </c>
      <c r="B218" t="str">
        <f ca="1">IFERROR(__xludf.DUMMYFUNCTION("""COMPUTED_VALUE"""),"Толочко")</f>
        <v>Толочко</v>
      </c>
      <c r="C218" t="str">
        <f ca="1">IFERROR(__xludf.DUMMYFUNCTION("""COMPUTED_VALUE"""),"Никита")</f>
        <v>Никита</v>
      </c>
      <c r="D218" t="str">
        <f ca="1">IFERROR(__xludf.DUMMYFUNCTION("""COMPUTED_VALUE"""),"Лицей 344")</f>
        <v>Лицей 344</v>
      </c>
      <c r="E218" s="5">
        <f ca="1">IFERROR(__xludf.DUMMYFUNCTION("""COMPUTED_VALUE"""),1)</f>
        <v>1</v>
      </c>
      <c r="F218" s="5">
        <f ca="1">IFERROR(__xludf.DUMMYFUNCTION("""COMPUTED_VALUE"""),1)</f>
        <v>1</v>
      </c>
      <c r="G218" s="5">
        <f ca="1">IFERROR(__xludf.DUMMYFUNCTION("""COMPUTED_VALUE"""),2)</f>
        <v>2</v>
      </c>
      <c r="H218" s="5">
        <f ca="1">IFERROR(__xludf.DUMMYFUNCTION("""COMPUTED_VALUE"""),0)</f>
        <v>0</v>
      </c>
      <c r="I218" s="5">
        <f ca="1">IFERROR(__xludf.DUMMYFUNCTION("""COMPUTED_VALUE"""),0)</f>
        <v>0</v>
      </c>
      <c r="J218" s="5">
        <f ca="1">IFERROR(__xludf.DUMMYFUNCTION("""COMPUTED_VALUE"""),2)</f>
        <v>2</v>
      </c>
      <c r="K218" s="5">
        <f ca="1">IFERROR(__xludf.DUMMYFUNCTION("""COMPUTED_VALUE"""),0)</f>
        <v>0</v>
      </c>
      <c r="L218" s="5">
        <f ca="1">IFERROR(__xludf.DUMMYFUNCTION("""COMPUTED_VALUE"""),0)</f>
        <v>0</v>
      </c>
      <c r="M218">
        <f ca="1">IFERROR(__xludf.DUMMYFUNCTION("""COMPUTED_VALUE"""),6)</f>
        <v>6</v>
      </c>
      <c r="N218" s="8"/>
    </row>
    <row r="219" spans="1:14" ht="12.45" hidden="1">
      <c r="A219" t="str">
        <f ca="1">IFERROR(__xludf.DUMMYFUNCTION("""COMPUTED_VALUE"""),"III-3-216")</f>
        <v>III-3-216</v>
      </c>
      <c r="B219" t="str">
        <f ca="1">IFERROR(__xludf.DUMMYFUNCTION("""COMPUTED_VALUE"""),"Климко")</f>
        <v>Климко</v>
      </c>
      <c r="C219" t="str">
        <f ca="1">IFERROR(__xludf.DUMMYFUNCTION("""COMPUTED_VALUE"""),"Владимир")</f>
        <v>Владимир</v>
      </c>
      <c r="D219" t="str">
        <f ca="1">IFERROR(__xludf.DUMMYFUNCTION("""COMPUTED_VALUE"""),"Гимназия 642")</f>
        <v>Гимназия 642</v>
      </c>
      <c r="E219" s="5">
        <f ca="1">IFERROR(__xludf.DUMMYFUNCTION("""COMPUTED_VALUE"""),1)</f>
        <v>1</v>
      </c>
      <c r="F219" s="5">
        <f ca="1">IFERROR(__xludf.DUMMYFUNCTION("""COMPUTED_VALUE"""),2)</f>
        <v>2</v>
      </c>
      <c r="G219" s="5">
        <f ca="1">IFERROR(__xludf.DUMMYFUNCTION("""COMPUTED_VALUE"""),1)</f>
        <v>1</v>
      </c>
      <c r="H219" s="5">
        <f ca="1">IFERROR(__xludf.DUMMYFUNCTION("""COMPUTED_VALUE"""),0)</f>
        <v>0</v>
      </c>
      <c r="I219" s="5">
        <f ca="1">IFERROR(__xludf.DUMMYFUNCTION("""COMPUTED_VALUE"""),0)</f>
        <v>0</v>
      </c>
      <c r="J219" s="5">
        <f ca="1">IFERROR(__xludf.DUMMYFUNCTION("""COMPUTED_VALUE"""),0)</f>
        <v>0</v>
      </c>
      <c r="K219" s="5">
        <f ca="1">IFERROR(__xludf.DUMMYFUNCTION("""COMPUTED_VALUE"""),2)</f>
        <v>2</v>
      </c>
      <c r="L219" s="5">
        <f ca="1">IFERROR(__xludf.DUMMYFUNCTION("""COMPUTED_VALUE"""),0)</f>
        <v>0</v>
      </c>
      <c r="M219">
        <f ca="1">IFERROR(__xludf.DUMMYFUNCTION("""COMPUTED_VALUE"""),6)</f>
        <v>6</v>
      </c>
      <c r="N219" s="8"/>
    </row>
    <row r="220" spans="1:14" ht="12.45" hidden="1">
      <c r="A220" t="str">
        <f ca="1">IFERROR(__xludf.DUMMYFUNCTION("""COMPUTED_VALUE"""),"V-3-370")</f>
        <v>V-3-370</v>
      </c>
      <c r="B220" t="str">
        <f ca="1">IFERROR(__xludf.DUMMYFUNCTION("""COMPUTED_VALUE"""),"Никулин")</f>
        <v>Никулин</v>
      </c>
      <c r="C220" t="str">
        <f ca="1">IFERROR(__xludf.DUMMYFUNCTION("""COMPUTED_VALUE"""),"Илья")</f>
        <v>Илья</v>
      </c>
      <c r="D220" t="str">
        <f ca="1">IFERROR(__xludf.DUMMYFUNCTION("""COMPUTED_VALUE"""),"Гимназия 56")</f>
        <v>Гимназия 56</v>
      </c>
      <c r="E220" s="5">
        <f ca="1">IFERROR(__xludf.DUMMYFUNCTION("""COMPUTED_VALUE"""),0)</f>
        <v>0</v>
      </c>
      <c r="F220" s="5">
        <f ca="1">IFERROR(__xludf.DUMMYFUNCTION("""COMPUTED_VALUE"""),5)</f>
        <v>5</v>
      </c>
      <c r="G220" s="5">
        <f ca="1">IFERROR(__xludf.DUMMYFUNCTION("""COMPUTED_VALUE"""),1)</f>
        <v>1</v>
      </c>
      <c r="H220" s="5">
        <f ca="1">IFERROR(__xludf.DUMMYFUNCTION("""COMPUTED_VALUE"""),0)</f>
        <v>0</v>
      </c>
      <c r="I220" s="5">
        <f ca="1">IFERROR(__xludf.DUMMYFUNCTION("""COMPUTED_VALUE"""),0)</f>
        <v>0</v>
      </c>
      <c r="J220" s="5">
        <f ca="1">IFERROR(__xludf.DUMMYFUNCTION("""COMPUTED_VALUE"""),0)</f>
        <v>0</v>
      </c>
      <c r="K220" s="5">
        <f ca="1">IFERROR(__xludf.DUMMYFUNCTION("""COMPUTED_VALUE"""),0)</f>
        <v>0</v>
      </c>
      <c r="L220" s="5">
        <f ca="1">IFERROR(__xludf.DUMMYFUNCTION("""COMPUTED_VALUE"""),0)</f>
        <v>0</v>
      </c>
      <c r="M220">
        <f ca="1">IFERROR(__xludf.DUMMYFUNCTION("""COMPUTED_VALUE"""),6)</f>
        <v>6</v>
      </c>
      <c r="N220" s="8"/>
    </row>
    <row r="221" spans="1:14" ht="12.45" hidden="1">
      <c r="A221" t="str">
        <f ca="1">IFERROR(__xludf.DUMMYFUNCTION("""COMPUTED_VALUE"""),"V-3-430")</f>
        <v>V-3-430</v>
      </c>
      <c r="B221" t="str">
        <f ca="1">IFERROR(__xludf.DUMMYFUNCTION("""COMPUTED_VALUE"""),"Пшеничных")</f>
        <v>Пшеничных</v>
      </c>
      <c r="C221" t="str">
        <f ca="1">IFERROR(__xludf.DUMMYFUNCTION("""COMPUTED_VALUE"""),"Злата")</f>
        <v>Злата</v>
      </c>
      <c r="D221" t="str">
        <f ca="1">IFERROR(__xludf.DUMMYFUNCTION("""COMPUTED_VALUE"""),"Лицей 9")</f>
        <v>Лицей 9</v>
      </c>
      <c r="E221" s="5">
        <f ca="1">IFERROR(__xludf.DUMMYFUNCTION("""COMPUTED_VALUE"""),2)</f>
        <v>2</v>
      </c>
      <c r="F221" s="5">
        <f ca="1">IFERROR(__xludf.DUMMYFUNCTION("""COMPUTED_VALUE"""),1)</f>
        <v>1</v>
      </c>
      <c r="G221" s="5">
        <f ca="1">IFERROR(__xludf.DUMMYFUNCTION("""COMPUTED_VALUE"""),3)</f>
        <v>3</v>
      </c>
      <c r="H221" s="5">
        <f ca="1">IFERROR(__xludf.DUMMYFUNCTION("""COMPUTED_VALUE"""),0)</f>
        <v>0</v>
      </c>
      <c r="I221" s="5">
        <f ca="1">IFERROR(__xludf.DUMMYFUNCTION("""COMPUTED_VALUE"""),0)</f>
        <v>0</v>
      </c>
      <c r="J221" s="5">
        <f ca="1">IFERROR(__xludf.DUMMYFUNCTION("""COMPUTED_VALUE"""),0)</f>
        <v>0</v>
      </c>
      <c r="K221" s="5">
        <f ca="1">IFERROR(__xludf.DUMMYFUNCTION("""COMPUTED_VALUE"""),0)</f>
        <v>0</v>
      </c>
      <c r="L221" s="5">
        <f ca="1">IFERROR(__xludf.DUMMYFUNCTION("""COMPUTED_VALUE"""),0)</f>
        <v>0</v>
      </c>
      <c r="M221">
        <f ca="1">IFERROR(__xludf.DUMMYFUNCTION("""COMPUTED_VALUE"""),6)</f>
        <v>6</v>
      </c>
      <c r="N221" s="8"/>
    </row>
    <row r="222" spans="1:14" ht="12.45" hidden="1">
      <c r="A222" t="str">
        <f ca="1">IFERROR(__xludf.DUMMYFUNCTION("""COMPUTED_VALUE"""),"V-3-477")</f>
        <v>V-3-477</v>
      </c>
      <c r="B222" t="str">
        <f ca="1">IFERROR(__xludf.DUMMYFUNCTION("""COMPUTED_VALUE"""),"Силинский")</f>
        <v>Силинский</v>
      </c>
      <c r="C222" t="str">
        <f ca="1">IFERROR(__xludf.DUMMYFUNCTION("""COMPUTED_VALUE"""),"Владимир")</f>
        <v>Владимир</v>
      </c>
      <c r="D222" t="str">
        <f ca="1">IFERROR(__xludf.DUMMYFUNCTION("""COMPUTED_VALUE"""),"Гимназия 642 Земля и вселенная")</f>
        <v>Гимназия 642 Земля и вселенная</v>
      </c>
      <c r="E222" s="5">
        <f ca="1">IFERROR(__xludf.DUMMYFUNCTION("""COMPUTED_VALUE"""),0)</f>
        <v>0</v>
      </c>
      <c r="F222" s="5">
        <f ca="1">IFERROR(__xludf.DUMMYFUNCTION("""COMPUTED_VALUE"""),2)</f>
        <v>2</v>
      </c>
      <c r="G222" s="5">
        <f ca="1">IFERROR(__xludf.DUMMYFUNCTION("""COMPUTED_VALUE"""),0)</f>
        <v>0</v>
      </c>
      <c r="H222" s="5">
        <f ca="1">IFERROR(__xludf.DUMMYFUNCTION("""COMPUTED_VALUE"""),0)</f>
        <v>0</v>
      </c>
      <c r="I222" s="5">
        <f ca="1">IFERROR(__xludf.DUMMYFUNCTION("""COMPUTED_VALUE"""),0)</f>
        <v>0</v>
      </c>
      <c r="J222" s="5">
        <f ca="1">IFERROR(__xludf.DUMMYFUNCTION("""COMPUTED_VALUE"""),1)</f>
        <v>1</v>
      </c>
      <c r="K222" s="5">
        <f ca="1">IFERROR(__xludf.DUMMYFUNCTION("""COMPUTED_VALUE"""),0)</f>
        <v>0</v>
      </c>
      <c r="L222" s="5">
        <f ca="1">IFERROR(__xludf.DUMMYFUNCTION("""COMPUTED_VALUE"""),3)</f>
        <v>3</v>
      </c>
      <c r="M222">
        <f ca="1">IFERROR(__xludf.DUMMYFUNCTION("""COMPUTED_VALUE"""),6)</f>
        <v>6</v>
      </c>
      <c r="N222" s="8"/>
    </row>
    <row r="223" spans="1:14" ht="12.45" hidden="1">
      <c r="A223" t="str">
        <f ca="1">IFERROR(__xludf.DUMMYFUNCTION("""COMPUTED_VALUE"""),"III-3-277")</f>
        <v>III-3-277</v>
      </c>
      <c r="B223" t="str">
        <f ca="1">IFERROR(__xludf.DUMMYFUNCTION("""COMPUTED_VALUE"""),"Лазарев")</f>
        <v>Лазарев</v>
      </c>
      <c r="C223" t="str">
        <f ca="1">IFERROR(__xludf.DUMMYFUNCTION("""COMPUTED_VALUE"""),"Михаил")</f>
        <v>Михаил</v>
      </c>
      <c r="D223" t="str">
        <f ca="1">IFERROR(__xludf.DUMMYFUNCTION("""COMPUTED_VALUE"""),"Школа 570")</f>
        <v>Школа 570</v>
      </c>
      <c r="E223" s="5">
        <f ca="1">IFERROR(__xludf.DUMMYFUNCTION("""COMPUTED_VALUE"""),1)</f>
        <v>1</v>
      </c>
      <c r="F223" s="5">
        <f ca="1">IFERROR(__xludf.DUMMYFUNCTION("""COMPUTED_VALUE"""),0)</f>
        <v>0</v>
      </c>
      <c r="G223" s="5">
        <f ca="1">IFERROR(__xludf.DUMMYFUNCTION("""COMPUTED_VALUE"""),1)</f>
        <v>1</v>
      </c>
      <c r="H223" s="5">
        <f ca="1">IFERROR(__xludf.DUMMYFUNCTION("""COMPUTED_VALUE"""),0)</f>
        <v>0</v>
      </c>
      <c r="I223" s="5">
        <f ca="1">IFERROR(__xludf.DUMMYFUNCTION("""COMPUTED_VALUE"""),0)</f>
        <v>0</v>
      </c>
      <c r="J223" s="5">
        <f ca="1">IFERROR(__xludf.DUMMYFUNCTION("""COMPUTED_VALUE"""),2)</f>
        <v>2</v>
      </c>
      <c r="K223" s="5">
        <f ca="1">IFERROR(__xludf.DUMMYFUNCTION("""COMPUTED_VALUE"""),1)</f>
        <v>1</v>
      </c>
      <c r="L223" s="5">
        <f ca="1">IFERROR(__xludf.DUMMYFUNCTION("""COMPUTED_VALUE"""),1)</f>
        <v>1</v>
      </c>
      <c r="M223">
        <f ca="1">IFERROR(__xludf.DUMMYFUNCTION("""COMPUTED_VALUE"""),6)</f>
        <v>6</v>
      </c>
      <c r="N223" s="8"/>
    </row>
    <row r="224" spans="1:14" ht="12.45" hidden="1">
      <c r="A224" t="str">
        <f ca="1">IFERROR(__xludf.DUMMYFUNCTION("""COMPUTED_VALUE"""),"V-3-435")</f>
        <v>V-3-435</v>
      </c>
      <c r="B224" t="str">
        <f ca="1">IFERROR(__xludf.DUMMYFUNCTION("""COMPUTED_VALUE"""),"Ребров")</f>
        <v>Ребров</v>
      </c>
      <c r="C224" t="str">
        <f ca="1">IFERROR(__xludf.DUMMYFUNCTION("""COMPUTED_VALUE"""),"Даниил")</f>
        <v>Даниил</v>
      </c>
      <c r="D224" t="str">
        <f ca="1">IFERROR(__xludf.DUMMYFUNCTION("""COMPUTED_VALUE"""),"Школа 365")</f>
        <v>Школа 365</v>
      </c>
      <c r="E224" s="5">
        <f ca="1">IFERROR(__xludf.DUMMYFUNCTION("""COMPUTED_VALUE"""),0)</f>
        <v>0</v>
      </c>
      <c r="F224" s="5">
        <f ca="1">IFERROR(__xludf.DUMMYFUNCTION("""COMPUTED_VALUE"""),5)</f>
        <v>5</v>
      </c>
      <c r="G224" s="5">
        <f ca="1">IFERROR(__xludf.DUMMYFUNCTION("""COMPUTED_VALUE"""),0)</f>
        <v>0</v>
      </c>
      <c r="H224" s="5">
        <f ca="1">IFERROR(__xludf.DUMMYFUNCTION("""COMPUTED_VALUE"""),0)</f>
        <v>0</v>
      </c>
      <c r="I224" s="5">
        <f ca="1">IFERROR(__xludf.DUMMYFUNCTION("""COMPUTED_VALUE"""),0)</f>
        <v>0</v>
      </c>
      <c r="J224" s="5">
        <f ca="1">IFERROR(__xludf.DUMMYFUNCTION("""COMPUTED_VALUE"""),1)</f>
        <v>1</v>
      </c>
      <c r="K224" s="5">
        <f ca="1">IFERROR(__xludf.DUMMYFUNCTION("""COMPUTED_VALUE"""),0)</f>
        <v>0</v>
      </c>
      <c r="L224" s="5">
        <f ca="1">IFERROR(__xludf.DUMMYFUNCTION("""COMPUTED_VALUE"""),0)</f>
        <v>0</v>
      </c>
      <c r="M224">
        <f ca="1">IFERROR(__xludf.DUMMYFUNCTION("""COMPUTED_VALUE"""),6)</f>
        <v>6</v>
      </c>
      <c r="N224" s="8"/>
    </row>
    <row r="225" spans="1:14" ht="12.45" hidden="1">
      <c r="A225" t="str">
        <f ca="1">IFERROR(__xludf.DUMMYFUNCTION("""COMPUTED_VALUE"""),"V-3-397")</f>
        <v>V-3-397</v>
      </c>
      <c r="B225" t="str">
        <f ca="1">IFERROR(__xludf.DUMMYFUNCTION("""COMPUTED_VALUE"""),"Паклина")</f>
        <v>Паклина</v>
      </c>
      <c r="C225" t="str">
        <f ca="1">IFERROR(__xludf.DUMMYFUNCTION("""COMPUTED_VALUE"""),"Агата")</f>
        <v>Агата</v>
      </c>
      <c r="D225" t="str">
        <f ca="1">IFERROR(__xludf.DUMMYFUNCTION("""COMPUTED_VALUE"""),"Гимназия 330")</f>
        <v>Гимназия 330</v>
      </c>
      <c r="E225" s="5">
        <f ca="1">IFERROR(__xludf.DUMMYFUNCTION("""COMPUTED_VALUE"""),1)</f>
        <v>1</v>
      </c>
      <c r="F225" s="5">
        <f ca="1">IFERROR(__xludf.DUMMYFUNCTION("""COMPUTED_VALUE"""),2)</f>
        <v>2</v>
      </c>
      <c r="G225" s="5">
        <f ca="1">IFERROR(__xludf.DUMMYFUNCTION("""COMPUTED_VALUE"""),1)</f>
        <v>1</v>
      </c>
      <c r="H225" s="5">
        <f ca="1">IFERROR(__xludf.DUMMYFUNCTION("""COMPUTED_VALUE"""),0)</f>
        <v>0</v>
      </c>
      <c r="I225" s="5">
        <f ca="1">IFERROR(__xludf.DUMMYFUNCTION("""COMPUTED_VALUE"""),0)</f>
        <v>0</v>
      </c>
      <c r="J225" s="5">
        <f ca="1">IFERROR(__xludf.DUMMYFUNCTION("""COMPUTED_VALUE"""),1)</f>
        <v>1</v>
      </c>
      <c r="K225" s="5">
        <f ca="1">IFERROR(__xludf.DUMMYFUNCTION("""COMPUTED_VALUE"""),1)</f>
        <v>1</v>
      </c>
      <c r="L225" s="5">
        <f ca="1">IFERROR(__xludf.DUMMYFUNCTION("""COMPUTED_VALUE"""),0)</f>
        <v>0</v>
      </c>
      <c r="M225">
        <f ca="1">IFERROR(__xludf.DUMMYFUNCTION("""COMPUTED_VALUE"""),6)</f>
        <v>6</v>
      </c>
      <c r="N225" s="8"/>
    </row>
    <row r="226" spans="1:14" ht="12.45" hidden="1">
      <c r="A226" t="str">
        <f ca="1">IFERROR(__xludf.DUMMYFUNCTION("""COMPUTED_VALUE"""),"III-3-227")</f>
        <v>III-3-227</v>
      </c>
      <c r="B226" t="str">
        <f ca="1">IFERROR(__xludf.DUMMYFUNCTION("""COMPUTED_VALUE"""),"Комиссарова")</f>
        <v>Комиссарова</v>
      </c>
      <c r="C226" t="str">
        <f ca="1">IFERROR(__xludf.DUMMYFUNCTION("""COMPUTED_VALUE"""),"Ольга")</f>
        <v>Ольга</v>
      </c>
      <c r="D226" t="str">
        <f ca="1">IFERROR(__xludf.DUMMYFUNCTION("""COMPUTED_VALUE"""),"Гимназия 642 Земля и Вселенная")</f>
        <v>Гимназия 642 Земля и Вселенная</v>
      </c>
      <c r="E226" s="5">
        <f ca="1">IFERROR(__xludf.DUMMYFUNCTION("""COMPUTED_VALUE"""),0)</f>
        <v>0</v>
      </c>
      <c r="F226" s="5">
        <f ca="1">IFERROR(__xludf.DUMMYFUNCTION("""COMPUTED_VALUE"""),5)</f>
        <v>5</v>
      </c>
      <c r="G226" s="5">
        <f ca="1">IFERROR(__xludf.DUMMYFUNCTION("""COMPUTED_VALUE"""),1)</f>
        <v>1</v>
      </c>
      <c r="H226" s="5">
        <f ca="1">IFERROR(__xludf.DUMMYFUNCTION("""COMPUTED_VALUE"""),0)</f>
        <v>0</v>
      </c>
      <c r="I226" s="5">
        <f ca="1">IFERROR(__xludf.DUMMYFUNCTION("""COMPUTED_VALUE"""),0)</f>
        <v>0</v>
      </c>
      <c r="J226" s="5">
        <f ca="1">IFERROR(__xludf.DUMMYFUNCTION("""COMPUTED_VALUE"""),0)</f>
        <v>0</v>
      </c>
      <c r="K226" s="5">
        <f ca="1">IFERROR(__xludf.DUMMYFUNCTION("""COMPUTED_VALUE"""),0)</f>
        <v>0</v>
      </c>
      <c r="L226" s="5">
        <f ca="1">IFERROR(__xludf.DUMMYFUNCTION("""COMPUTED_VALUE"""),0)</f>
        <v>0</v>
      </c>
      <c r="M226">
        <f ca="1">IFERROR(__xludf.DUMMYFUNCTION("""COMPUTED_VALUE"""),6)</f>
        <v>6</v>
      </c>
      <c r="N226" s="8"/>
    </row>
    <row r="227" spans="1:14" ht="12.45" hidden="1">
      <c r="A227" t="str">
        <f ca="1">IFERROR(__xludf.DUMMYFUNCTION("""COMPUTED_VALUE"""),"V-3-350")</f>
        <v>V-3-350</v>
      </c>
      <c r="B227" t="str">
        <f ca="1">IFERROR(__xludf.DUMMYFUNCTION("""COMPUTED_VALUE"""),"Мурова")</f>
        <v>Мурова</v>
      </c>
      <c r="C227" t="str">
        <f ca="1">IFERROR(__xludf.DUMMYFUNCTION("""COMPUTED_VALUE"""),"Мирослава")</f>
        <v>Мирослава</v>
      </c>
      <c r="D227" t="str">
        <f ca="1">IFERROR(__xludf.DUMMYFUNCTION("""COMPUTED_VALUE"""),"Лицей 533")</f>
        <v>Лицей 533</v>
      </c>
      <c r="E227" s="5">
        <f ca="1">IFERROR(__xludf.DUMMYFUNCTION("""COMPUTED_VALUE"""),0)</f>
        <v>0</v>
      </c>
      <c r="F227" s="5">
        <f ca="1">IFERROR(__xludf.DUMMYFUNCTION("""COMPUTED_VALUE"""),1)</f>
        <v>1</v>
      </c>
      <c r="G227" s="5">
        <f ca="1">IFERROR(__xludf.DUMMYFUNCTION("""COMPUTED_VALUE"""),1)</f>
        <v>1</v>
      </c>
      <c r="H227" s="5">
        <f ca="1">IFERROR(__xludf.DUMMYFUNCTION("""COMPUTED_VALUE"""),0)</f>
        <v>0</v>
      </c>
      <c r="I227" s="5">
        <f ca="1">IFERROR(__xludf.DUMMYFUNCTION("""COMPUTED_VALUE"""),3)</f>
        <v>3</v>
      </c>
      <c r="J227" s="5">
        <f ca="1">IFERROR(__xludf.DUMMYFUNCTION("""COMPUTED_VALUE"""),0)</f>
        <v>0</v>
      </c>
      <c r="K227" s="5">
        <f ca="1">IFERROR(__xludf.DUMMYFUNCTION("""COMPUTED_VALUE"""),0)</f>
        <v>0</v>
      </c>
      <c r="L227" s="5">
        <f ca="1">IFERROR(__xludf.DUMMYFUNCTION("""COMPUTED_VALUE"""),0)</f>
        <v>0</v>
      </c>
      <c r="M227">
        <f ca="1">IFERROR(__xludf.DUMMYFUNCTION("""COMPUTED_VALUE"""),5)</f>
        <v>5</v>
      </c>
      <c r="N227" s="8"/>
    </row>
    <row r="228" spans="1:14" ht="12.45" hidden="1">
      <c r="A228" t="str">
        <f ca="1">IFERROR(__xludf.DUMMYFUNCTION("""COMPUTED_VALUE"""),"V-3-597")</f>
        <v>V-3-597</v>
      </c>
      <c r="B228" t="str">
        <f ca="1">IFERROR(__xludf.DUMMYFUNCTION("""COMPUTED_VALUE"""),"Яновский")</f>
        <v>Яновский</v>
      </c>
      <c r="C228" t="str">
        <f ca="1">IFERROR(__xludf.DUMMYFUNCTION("""COMPUTED_VALUE"""),"Константин")</f>
        <v>Константин</v>
      </c>
      <c r="D228" t="str">
        <f ca="1">IFERROR(__xludf.DUMMYFUNCTION("""COMPUTED_VALUE"""),"Школа 348")</f>
        <v>Школа 348</v>
      </c>
      <c r="E228" s="5">
        <f ca="1">IFERROR(__xludf.DUMMYFUNCTION("""COMPUTED_VALUE"""),0)</f>
        <v>0</v>
      </c>
      <c r="F228" s="5">
        <f ca="1">IFERROR(__xludf.DUMMYFUNCTION("""COMPUTED_VALUE"""),2)</f>
        <v>2</v>
      </c>
      <c r="G228" s="5">
        <f ca="1">IFERROR(__xludf.DUMMYFUNCTION("""COMPUTED_VALUE"""),0)</f>
        <v>0</v>
      </c>
      <c r="H228" s="5">
        <f ca="1">IFERROR(__xludf.DUMMYFUNCTION("""COMPUTED_VALUE"""),0)</f>
        <v>0</v>
      </c>
      <c r="I228" s="5">
        <f ca="1">IFERROR(__xludf.DUMMYFUNCTION("""COMPUTED_VALUE"""),2)</f>
        <v>2</v>
      </c>
      <c r="J228" s="5">
        <f ca="1">IFERROR(__xludf.DUMMYFUNCTION("""COMPUTED_VALUE"""),0)</f>
        <v>0</v>
      </c>
      <c r="K228" s="5">
        <f ca="1">IFERROR(__xludf.DUMMYFUNCTION("""COMPUTED_VALUE"""),1)</f>
        <v>1</v>
      </c>
      <c r="L228" s="5">
        <f ca="1">IFERROR(__xludf.DUMMYFUNCTION("""COMPUTED_VALUE"""),0)</f>
        <v>0</v>
      </c>
      <c r="M228">
        <f ca="1">IFERROR(__xludf.DUMMYFUNCTION("""COMPUTED_VALUE"""),5)</f>
        <v>5</v>
      </c>
      <c r="N228" s="8"/>
    </row>
    <row r="229" spans="1:14" ht="12.45" hidden="1">
      <c r="A229" t="str">
        <f ca="1">IFERROR(__xludf.DUMMYFUNCTION("""COMPUTED_VALUE"""),"III-3-191")</f>
        <v>III-3-191</v>
      </c>
      <c r="B229" t="str">
        <f ca="1">IFERROR(__xludf.DUMMYFUNCTION("""COMPUTED_VALUE"""),"Казачинский")</f>
        <v>Казачинский</v>
      </c>
      <c r="C229" t="str">
        <f ca="1">IFERROR(__xludf.DUMMYFUNCTION("""COMPUTED_VALUE"""),"Кирилл")</f>
        <v>Кирилл</v>
      </c>
      <c r="D229" t="str">
        <f ca="1">IFERROR(__xludf.DUMMYFUNCTION("""COMPUTED_VALUE"""),"Школа Квадривиум")</f>
        <v>Школа Квадривиум</v>
      </c>
      <c r="E229" s="5">
        <f ca="1">IFERROR(__xludf.DUMMYFUNCTION("""COMPUTED_VALUE"""),1)</f>
        <v>1</v>
      </c>
      <c r="F229" s="5">
        <f ca="1">IFERROR(__xludf.DUMMYFUNCTION("""COMPUTED_VALUE"""),0)</f>
        <v>0</v>
      </c>
      <c r="G229" s="5">
        <f ca="1">IFERROR(__xludf.DUMMYFUNCTION("""COMPUTED_VALUE"""),2)</f>
        <v>2</v>
      </c>
      <c r="H229" s="5">
        <f ca="1">IFERROR(__xludf.DUMMYFUNCTION("""COMPUTED_VALUE"""),0)</f>
        <v>0</v>
      </c>
      <c r="I229" s="5">
        <f ca="1">IFERROR(__xludf.DUMMYFUNCTION("""COMPUTED_VALUE"""),2)</f>
        <v>2</v>
      </c>
      <c r="J229" s="5">
        <f ca="1">IFERROR(__xludf.DUMMYFUNCTION("""COMPUTED_VALUE"""),0)</f>
        <v>0</v>
      </c>
      <c r="K229" s="5">
        <f ca="1">IFERROR(__xludf.DUMMYFUNCTION("""COMPUTED_VALUE"""),0)</f>
        <v>0</v>
      </c>
      <c r="L229" s="5">
        <f ca="1">IFERROR(__xludf.DUMMYFUNCTION("""COMPUTED_VALUE"""),0)</f>
        <v>0</v>
      </c>
      <c r="M229">
        <f ca="1">IFERROR(__xludf.DUMMYFUNCTION("""COMPUTED_VALUE"""),5)</f>
        <v>5</v>
      </c>
      <c r="N229" s="8"/>
    </row>
    <row r="230" spans="1:14" ht="12.45" hidden="1">
      <c r="A230" t="str">
        <f ca="1">IFERROR(__xludf.DUMMYFUNCTION("""COMPUTED_VALUE"""),"III-3-049")</f>
        <v>III-3-049</v>
      </c>
      <c r="B230" t="str">
        <f ca="1">IFERROR(__xludf.DUMMYFUNCTION("""COMPUTED_VALUE"""),"Богданов")</f>
        <v>Богданов</v>
      </c>
      <c r="C230" t="str">
        <f ca="1">IFERROR(__xludf.DUMMYFUNCTION("""COMPUTED_VALUE"""),"Егор")</f>
        <v>Егор</v>
      </c>
      <c r="D230" t="str">
        <f ca="1">IFERROR(__xludf.DUMMYFUNCTION("""COMPUTED_VALUE"""),"Гимназия 3")</f>
        <v>Гимназия 3</v>
      </c>
      <c r="E230" s="5">
        <f ca="1">IFERROR(__xludf.DUMMYFUNCTION("""COMPUTED_VALUE"""),0)</f>
        <v>0</v>
      </c>
      <c r="F230" s="5">
        <f ca="1">IFERROR(__xludf.DUMMYFUNCTION("""COMPUTED_VALUE"""),1)</f>
        <v>1</v>
      </c>
      <c r="G230" s="5">
        <f ca="1">IFERROR(__xludf.DUMMYFUNCTION("""COMPUTED_VALUE"""),1)</f>
        <v>1</v>
      </c>
      <c r="H230" s="5">
        <f ca="1">IFERROR(__xludf.DUMMYFUNCTION("""COMPUTED_VALUE"""),0)</f>
        <v>0</v>
      </c>
      <c r="I230" s="5">
        <f ca="1">IFERROR(__xludf.DUMMYFUNCTION("""COMPUTED_VALUE"""),2)</f>
        <v>2</v>
      </c>
      <c r="J230" s="5">
        <f ca="1">IFERROR(__xludf.DUMMYFUNCTION("""COMPUTED_VALUE"""),0)</f>
        <v>0</v>
      </c>
      <c r="K230" s="5">
        <f ca="1">IFERROR(__xludf.DUMMYFUNCTION("""COMPUTED_VALUE"""),1)</f>
        <v>1</v>
      </c>
      <c r="L230" s="5">
        <f ca="1">IFERROR(__xludf.DUMMYFUNCTION("""COMPUTED_VALUE"""),0)</f>
        <v>0</v>
      </c>
      <c r="M230">
        <f ca="1">IFERROR(__xludf.DUMMYFUNCTION("""COMPUTED_VALUE"""),5)</f>
        <v>5</v>
      </c>
      <c r="N230" s="8"/>
    </row>
    <row r="231" spans="1:14" ht="12.45" hidden="1">
      <c r="A231" t="str">
        <f ca="1">IFERROR(__xludf.DUMMYFUNCTION("""COMPUTED_VALUE"""),"V-3-518")</f>
        <v>V-3-518</v>
      </c>
      <c r="B231" t="str">
        <f ca="1">IFERROR(__xludf.DUMMYFUNCTION("""COMPUTED_VALUE"""),"Тихомиров")</f>
        <v>Тихомиров</v>
      </c>
      <c r="C231" t="str">
        <f ca="1">IFERROR(__xludf.DUMMYFUNCTION("""COMPUTED_VALUE"""),"Борис")</f>
        <v>Борис</v>
      </c>
      <c r="D231" t="str">
        <f ca="1">IFERROR(__xludf.DUMMYFUNCTION("""COMPUTED_VALUE"""),"Школа 300")</f>
        <v>Школа 300</v>
      </c>
      <c r="E231" s="5">
        <f ca="1">IFERROR(__xludf.DUMMYFUNCTION("""COMPUTED_VALUE"""),1)</f>
        <v>1</v>
      </c>
      <c r="F231" s="5">
        <f ca="1">IFERROR(__xludf.DUMMYFUNCTION("""COMPUTED_VALUE"""),0)</f>
        <v>0</v>
      </c>
      <c r="G231" s="5">
        <f ca="1">IFERROR(__xludf.DUMMYFUNCTION("""COMPUTED_VALUE"""),1)</f>
        <v>1</v>
      </c>
      <c r="H231" s="5">
        <f ca="1">IFERROR(__xludf.DUMMYFUNCTION("""COMPUTED_VALUE"""),0)</f>
        <v>0</v>
      </c>
      <c r="I231" s="5">
        <f ca="1">IFERROR(__xludf.DUMMYFUNCTION("""COMPUTED_VALUE"""),2)</f>
        <v>2</v>
      </c>
      <c r="J231" s="5">
        <f ca="1">IFERROR(__xludf.DUMMYFUNCTION("""COMPUTED_VALUE"""),0)</f>
        <v>0</v>
      </c>
      <c r="K231" s="5">
        <f ca="1">IFERROR(__xludf.DUMMYFUNCTION("""COMPUTED_VALUE"""),1)</f>
        <v>1</v>
      </c>
      <c r="L231" s="5">
        <f ca="1">IFERROR(__xludf.DUMMYFUNCTION("""COMPUTED_VALUE"""),0)</f>
        <v>0</v>
      </c>
      <c r="M231">
        <f ca="1">IFERROR(__xludf.DUMMYFUNCTION("""COMPUTED_VALUE"""),5)</f>
        <v>5</v>
      </c>
      <c r="N231" s="8"/>
    </row>
    <row r="232" spans="1:14" ht="12.45" hidden="1">
      <c r="A232" t="str">
        <f ca="1">IFERROR(__xludf.DUMMYFUNCTION("""COMPUTED_VALUE"""),"V-3-411")</f>
        <v>V-3-411</v>
      </c>
      <c r="B232" t="str">
        <f ca="1">IFERROR(__xludf.DUMMYFUNCTION("""COMPUTED_VALUE"""),"Петров")</f>
        <v>Петров</v>
      </c>
      <c r="C232" t="str">
        <f ca="1">IFERROR(__xludf.DUMMYFUNCTION("""COMPUTED_VALUE"""),"Василий")</f>
        <v>Василий</v>
      </c>
      <c r="D232" t="str">
        <f ca="1">IFERROR(__xludf.DUMMYFUNCTION("""COMPUTED_VALUE"""),"Гимназия 56")</f>
        <v>Гимназия 56</v>
      </c>
      <c r="E232" s="5">
        <f ca="1">IFERROR(__xludf.DUMMYFUNCTION("""COMPUTED_VALUE"""),0)</f>
        <v>0</v>
      </c>
      <c r="F232" s="5">
        <f ca="1">IFERROR(__xludf.DUMMYFUNCTION("""COMPUTED_VALUE"""),2)</f>
        <v>2</v>
      </c>
      <c r="G232" s="5">
        <f ca="1">IFERROR(__xludf.DUMMYFUNCTION("""COMPUTED_VALUE"""),1)</f>
        <v>1</v>
      </c>
      <c r="H232" s="5">
        <f ca="1">IFERROR(__xludf.DUMMYFUNCTION("""COMPUTED_VALUE"""),0)</f>
        <v>0</v>
      </c>
      <c r="I232" s="5">
        <f ca="1">IFERROR(__xludf.DUMMYFUNCTION("""COMPUTED_VALUE"""),2)</f>
        <v>2</v>
      </c>
      <c r="J232" s="5">
        <f ca="1">IFERROR(__xludf.DUMMYFUNCTION("""COMPUTED_VALUE"""),0)</f>
        <v>0</v>
      </c>
      <c r="K232" s="5">
        <f ca="1">IFERROR(__xludf.DUMMYFUNCTION("""COMPUTED_VALUE"""),0)</f>
        <v>0</v>
      </c>
      <c r="L232" s="5">
        <f ca="1">IFERROR(__xludf.DUMMYFUNCTION("""COMPUTED_VALUE"""),0)</f>
        <v>0</v>
      </c>
      <c r="M232">
        <f ca="1">IFERROR(__xludf.DUMMYFUNCTION("""COMPUTED_VALUE"""),5)</f>
        <v>5</v>
      </c>
      <c r="N232" s="8"/>
    </row>
    <row r="233" spans="1:14" ht="12.45" hidden="1">
      <c r="A233" t="str">
        <f ca="1">IFERROR(__xludf.DUMMYFUNCTION("""COMPUTED_VALUE"""),"V-3-415")</f>
        <v>V-3-415</v>
      </c>
      <c r="B233" t="str">
        <f ca="1">IFERROR(__xludf.DUMMYFUNCTION("""COMPUTED_VALUE"""),"Поленок")</f>
        <v>Поленок</v>
      </c>
      <c r="C233" t="str">
        <f ca="1">IFERROR(__xludf.DUMMYFUNCTION("""COMPUTED_VALUE"""),"Вячеслав")</f>
        <v>Вячеслав</v>
      </c>
      <c r="D233" t="str">
        <f ca="1">IFERROR(__xludf.DUMMYFUNCTION("""COMPUTED_VALUE"""),"Школа 570")</f>
        <v>Школа 570</v>
      </c>
      <c r="E233" s="5">
        <f ca="1">IFERROR(__xludf.DUMMYFUNCTION("""COMPUTED_VALUE"""),0)</f>
        <v>0</v>
      </c>
      <c r="F233" s="5">
        <f ca="1">IFERROR(__xludf.DUMMYFUNCTION("""COMPUTED_VALUE"""),0)</f>
        <v>0</v>
      </c>
      <c r="G233" s="5">
        <f ca="1">IFERROR(__xludf.DUMMYFUNCTION("""COMPUTED_VALUE"""),2)</f>
        <v>2</v>
      </c>
      <c r="H233" s="5">
        <f ca="1">IFERROR(__xludf.DUMMYFUNCTION("""COMPUTED_VALUE"""),0)</f>
        <v>0</v>
      </c>
      <c r="I233" s="5">
        <f ca="1">IFERROR(__xludf.DUMMYFUNCTION("""COMPUTED_VALUE"""),2)</f>
        <v>2</v>
      </c>
      <c r="J233" s="5">
        <f ca="1">IFERROR(__xludf.DUMMYFUNCTION("""COMPUTED_VALUE"""),0)</f>
        <v>0</v>
      </c>
      <c r="K233" s="5">
        <f ca="1">IFERROR(__xludf.DUMMYFUNCTION("""COMPUTED_VALUE"""),1)</f>
        <v>1</v>
      </c>
      <c r="L233" s="5">
        <f ca="1">IFERROR(__xludf.DUMMYFUNCTION("""COMPUTED_VALUE"""),0)</f>
        <v>0</v>
      </c>
      <c r="M233">
        <f ca="1">IFERROR(__xludf.DUMMYFUNCTION("""COMPUTED_VALUE"""),5)</f>
        <v>5</v>
      </c>
      <c r="N233" s="8"/>
    </row>
    <row r="234" spans="1:14" ht="12.45" hidden="1">
      <c r="A234" t="str">
        <f ca="1">IFERROR(__xludf.DUMMYFUNCTION("""COMPUTED_VALUE"""),"III-3-284")</f>
        <v>III-3-284</v>
      </c>
      <c r="B234" t="str">
        <f ca="1">IFERROR(__xludf.DUMMYFUNCTION("""COMPUTED_VALUE"""),"Лебедев")</f>
        <v>Лебедев</v>
      </c>
      <c r="C234" t="str">
        <f ca="1">IFERROR(__xludf.DUMMYFUNCTION("""COMPUTED_VALUE"""),"Кирилл")</f>
        <v>Кирилл</v>
      </c>
      <c r="D234" t="str">
        <f ca="1">IFERROR(__xludf.DUMMYFUNCTION("""COMPUTED_VALUE"""),"Лицей 470")</f>
        <v>Лицей 470</v>
      </c>
      <c r="E234" s="5">
        <f ca="1">IFERROR(__xludf.DUMMYFUNCTION("""COMPUTED_VALUE"""),0)</f>
        <v>0</v>
      </c>
      <c r="F234" s="5">
        <f ca="1">IFERROR(__xludf.DUMMYFUNCTION("""COMPUTED_VALUE"""),1)</f>
        <v>1</v>
      </c>
      <c r="G234" s="5">
        <f ca="1">IFERROR(__xludf.DUMMYFUNCTION("""COMPUTED_VALUE"""),0)</f>
        <v>0</v>
      </c>
      <c r="H234" s="5">
        <f ca="1">IFERROR(__xludf.DUMMYFUNCTION("""COMPUTED_VALUE"""),0)</f>
        <v>0</v>
      </c>
      <c r="I234" s="5">
        <f ca="1">IFERROR(__xludf.DUMMYFUNCTION("""COMPUTED_VALUE"""),2)</f>
        <v>2</v>
      </c>
      <c r="J234" s="5">
        <f ca="1">IFERROR(__xludf.DUMMYFUNCTION("""COMPUTED_VALUE"""),0)</f>
        <v>0</v>
      </c>
      <c r="K234" s="5">
        <f ca="1">IFERROR(__xludf.DUMMYFUNCTION("""COMPUTED_VALUE"""),1)</f>
        <v>1</v>
      </c>
      <c r="L234" s="5">
        <f ca="1">IFERROR(__xludf.DUMMYFUNCTION("""COMPUTED_VALUE"""),1)</f>
        <v>1</v>
      </c>
      <c r="M234">
        <f ca="1">IFERROR(__xludf.DUMMYFUNCTION("""COMPUTED_VALUE"""),5)</f>
        <v>5</v>
      </c>
      <c r="N234" s="8"/>
    </row>
    <row r="235" spans="1:14" ht="12.45" hidden="1">
      <c r="A235" t="str">
        <f ca="1">IFERROR(__xludf.DUMMYFUNCTION("""COMPUTED_VALUE"""),"III-3-258")</f>
        <v>III-3-258</v>
      </c>
      <c r="B235" t="str">
        <f ca="1">IFERROR(__xludf.DUMMYFUNCTION("""COMPUTED_VALUE"""),"Кузнецова")</f>
        <v>Кузнецова</v>
      </c>
      <c r="C235" t="str">
        <f ca="1">IFERROR(__xludf.DUMMYFUNCTION("""COMPUTED_VALUE"""),"Софья")</f>
        <v>Софья</v>
      </c>
      <c r="D235" t="str">
        <f ca="1">IFERROR(__xludf.DUMMYFUNCTION("""COMPUTED_VALUE"""),"Гимназия 49")</f>
        <v>Гимназия 49</v>
      </c>
      <c r="E235" s="5">
        <f ca="1">IFERROR(__xludf.DUMMYFUNCTION("""COMPUTED_VALUE"""),0)</f>
        <v>0</v>
      </c>
      <c r="F235" s="5">
        <f ca="1">IFERROR(__xludf.DUMMYFUNCTION("""COMPUTED_VALUE"""),0)</f>
        <v>0</v>
      </c>
      <c r="G235" s="5">
        <f ca="1">IFERROR(__xludf.DUMMYFUNCTION("""COMPUTED_VALUE"""),1)</f>
        <v>1</v>
      </c>
      <c r="H235" s="5">
        <f ca="1">IFERROR(__xludf.DUMMYFUNCTION("""COMPUTED_VALUE"""),0)</f>
        <v>0</v>
      </c>
      <c r="I235" s="5">
        <f ca="1">IFERROR(__xludf.DUMMYFUNCTION("""COMPUTED_VALUE"""),2)</f>
        <v>2</v>
      </c>
      <c r="J235" s="5">
        <f ca="1">IFERROR(__xludf.DUMMYFUNCTION("""COMPUTED_VALUE"""),0)</f>
        <v>0</v>
      </c>
      <c r="K235" s="5">
        <f ca="1">IFERROR(__xludf.DUMMYFUNCTION("""COMPUTED_VALUE"""),2)</f>
        <v>2</v>
      </c>
      <c r="L235" s="5">
        <f ca="1">IFERROR(__xludf.DUMMYFUNCTION("""COMPUTED_VALUE"""),0)</f>
        <v>0</v>
      </c>
      <c r="M235">
        <f ca="1">IFERROR(__xludf.DUMMYFUNCTION("""COMPUTED_VALUE"""),5)</f>
        <v>5</v>
      </c>
      <c r="N235" s="8"/>
    </row>
    <row r="236" spans="1:14" ht="12.45" hidden="1">
      <c r="A236" t="str">
        <f ca="1">IFERROR(__xludf.DUMMYFUNCTION("""COMPUTED_VALUE"""),"III-3-027")</f>
        <v>III-3-027</v>
      </c>
      <c r="B236" t="str">
        <f ca="1">IFERROR(__xludf.DUMMYFUNCTION("""COMPUTED_VALUE"""),"Бажитов")</f>
        <v>Бажитов</v>
      </c>
      <c r="C236" t="str">
        <f ca="1">IFERROR(__xludf.DUMMYFUNCTION("""COMPUTED_VALUE"""),"Глеб")</f>
        <v>Глеб</v>
      </c>
      <c r="D236" t="str">
        <f ca="1">IFERROR(__xludf.DUMMYFUNCTION("""COMPUTED_VALUE"""),"Школа 246")</f>
        <v>Школа 246</v>
      </c>
      <c r="E236" s="5">
        <f ca="1">IFERROR(__xludf.DUMMYFUNCTION("""COMPUTED_VALUE"""),1)</f>
        <v>1</v>
      </c>
      <c r="F236" s="5">
        <f ca="1">IFERROR(__xludf.DUMMYFUNCTION("""COMPUTED_VALUE"""),2)</f>
        <v>2</v>
      </c>
      <c r="G236" s="5">
        <f ca="1">IFERROR(__xludf.DUMMYFUNCTION("""COMPUTED_VALUE"""),0)</f>
        <v>0</v>
      </c>
      <c r="H236" s="5">
        <f ca="1">IFERROR(__xludf.DUMMYFUNCTION("""COMPUTED_VALUE"""),0)</f>
        <v>0</v>
      </c>
      <c r="I236" s="5">
        <f ca="1">IFERROR(__xludf.DUMMYFUNCTION("""COMPUTED_VALUE"""),2)</f>
        <v>2</v>
      </c>
      <c r="J236" s="5">
        <f ca="1">IFERROR(__xludf.DUMMYFUNCTION("""COMPUTED_VALUE"""),0)</f>
        <v>0</v>
      </c>
      <c r="K236" s="5">
        <f ca="1">IFERROR(__xludf.DUMMYFUNCTION("""COMPUTED_VALUE"""),0)</f>
        <v>0</v>
      </c>
      <c r="L236" s="5">
        <f ca="1">IFERROR(__xludf.DUMMYFUNCTION("""COMPUTED_VALUE"""),0)</f>
        <v>0</v>
      </c>
      <c r="M236">
        <f ca="1">IFERROR(__xludf.DUMMYFUNCTION("""COMPUTED_VALUE"""),5)</f>
        <v>5</v>
      </c>
      <c r="N236" s="8"/>
    </row>
    <row r="237" spans="1:14" ht="12.45" hidden="1">
      <c r="A237" t="str">
        <f ca="1">IFERROR(__xludf.DUMMYFUNCTION("""COMPUTED_VALUE"""),"III-3-033")</f>
        <v>III-3-033</v>
      </c>
      <c r="B237" t="str">
        <f ca="1">IFERROR(__xludf.DUMMYFUNCTION("""COMPUTED_VALUE"""),"Барышникова")</f>
        <v>Барышникова</v>
      </c>
      <c r="C237" t="str">
        <f ca="1">IFERROR(__xludf.DUMMYFUNCTION("""COMPUTED_VALUE"""),"Таисия")</f>
        <v>Таисия</v>
      </c>
      <c r="D237" t="str">
        <f ca="1">IFERROR(__xludf.DUMMYFUNCTION("""COMPUTED_VALUE"""),"Гимназия 171")</f>
        <v>Гимназия 171</v>
      </c>
      <c r="E237" s="5">
        <f ca="1">IFERROR(__xludf.DUMMYFUNCTION("""COMPUTED_VALUE"""),0)</f>
        <v>0</v>
      </c>
      <c r="F237" s="5">
        <f ca="1">IFERROR(__xludf.DUMMYFUNCTION("""COMPUTED_VALUE"""),0)</f>
        <v>0</v>
      </c>
      <c r="G237" s="5">
        <f ca="1">IFERROR(__xludf.DUMMYFUNCTION("""COMPUTED_VALUE"""),1)</f>
        <v>1</v>
      </c>
      <c r="H237" s="5">
        <f ca="1">IFERROR(__xludf.DUMMYFUNCTION("""COMPUTED_VALUE"""),0)</f>
        <v>0</v>
      </c>
      <c r="I237" s="5">
        <f ca="1">IFERROR(__xludf.DUMMYFUNCTION("""COMPUTED_VALUE"""),2)</f>
        <v>2</v>
      </c>
      <c r="J237" s="5">
        <f ca="1">IFERROR(__xludf.DUMMYFUNCTION("""COMPUTED_VALUE"""),1)</f>
        <v>1</v>
      </c>
      <c r="K237" s="5">
        <f ca="1">IFERROR(__xludf.DUMMYFUNCTION("""COMPUTED_VALUE"""),1)</f>
        <v>1</v>
      </c>
      <c r="L237" s="5">
        <f ca="1">IFERROR(__xludf.DUMMYFUNCTION("""COMPUTED_VALUE"""),0)</f>
        <v>0</v>
      </c>
      <c r="M237">
        <f ca="1">IFERROR(__xludf.DUMMYFUNCTION("""COMPUTED_VALUE"""),5)</f>
        <v>5</v>
      </c>
      <c r="N237" s="8"/>
    </row>
    <row r="238" spans="1:14" ht="12.45" hidden="1">
      <c r="A238" t="str">
        <f ca="1">IFERROR(__xludf.DUMMYFUNCTION("""COMPUTED_VALUE"""),"III-3-223")</f>
        <v>III-3-223</v>
      </c>
      <c r="B238" t="str">
        <f ca="1">IFERROR(__xludf.DUMMYFUNCTION("""COMPUTED_VALUE"""),"Козырев")</f>
        <v>Козырев</v>
      </c>
      <c r="C238" t="str">
        <f ca="1">IFERROR(__xludf.DUMMYFUNCTION("""COMPUTED_VALUE"""),"Елисей")</f>
        <v>Елисей</v>
      </c>
      <c r="D238" t="str">
        <f ca="1">IFERROR(__xludf.DUMMYFUNCTION("""COMPUTED_VALUE"""),"Гимназия 622")</f>
        <v>Гимназия 622</v>
      </c>
      <c r="E238" s="5">
        <f ca="1">IFERROR(__xludf.DUMMYFUNCTION("""COMPUTED_VALUE"""),0)</f>
        <v>0</v>
      </c>
      <c r="F238" s="5">
        <f ca="1">IFERROR(__xludf.DUMMYFUNCTION("""COMPUTED_VALUE"""),1)</f>
        <v>1</v>
      </c>
      <c r="G238" s="5">
        <f ca="1">IFERROR(__xludf.DUMMYFUNCTION("""COMPUTED_VALUE"""),1)</f>
        <v>1</v>
      </c>
      <c r="H238" s="5">
        <f ca="1">IFERROR(__xludf.DUMMYFUNCTION("""COMPUTED_VALUE"""),0)</f>
        <v>0</v>
      </c>
      <c r="I238" s="5">
        <f ca="1">IFERROR(__xludf.DUMMYFUNCTION("""COMPUTED_VALUE"""),2)</f>
        <v>2</v>
      </c>
      <c r="J238" s="5">
        <f ca="1">IFERROR(__xludf.DUMMYFUNCTION("""COMPUTED_VALUE"""),0)</f>
        <v>0</v>
      </c>
      <c r="K238" s="5">
        <f ca="1">IFERROR(__xludf.DUMMYFUNCTION("""COMPUTED_VALUE"""),1)</f>
        <v>1</v>
      </c>
      <c r="L238" s="5">
        <f ca="1">IFERROR(__xludf.DUMMYFUNCTION("""COMPUTED_VALUE"""),0)</f>
        <v>0</v>
      </c>
      <c r="M238">
        <f ca="1">IFERROR(__xludf.DUMMYFUNCTION("""COMPUTED_VALUE"""),5)</f>
        <v>5</v>
      </c>
      <c r="N238" s="8"/>
    </row>
    <row r="239" spans="1:14" ht="12.45" hidden="1">
      <c r="A239" t="str">
        <f ca="1">IFERROR(__xludf.DUMMYFUNCTION("""COMPUTED_VALUE"""),"V-3-317")</f>
        <v>V-3-317</v>
      </c>
      <c r="B239" t="str">
        <f ca="1">IFERROR(__xludf.DUMMYFUNCTION("""COMPUTED_VALUE"""),"Марко")</f>
        <v>Марко</v>
      </c>
      <c r="C239" t="str">
        <f ca="1">IFERROR(__xludf.DUMMYFUNCTION("""COMPUTED_VALUE"""),"Алексей")</f>
        <v>Алексей</v>
      </c>
      <c r="D239" t="str">
        <f ca="1">IFERROR(__xludf.DUMMYFUNCTION("""COMPUTED_VALUE"""),"Школа 516")</f>
        <v>Школа 516</v>
      </c>
      <c r="E239" s="5">
        <f ca="1">IFERROR(__xludf.DUMMYFUNCTION("""COMPUTED_VALUE"""),0)</f>
        <v>0</v>
      </c>
      <c r="F239" s="5">
        <f ca="1">IFERROR(__xludf.DUMMYFUNCTION("""COMPUTED_VALUE"""),0)</f>
        <v>0</v>
      </c>
      <c r="G239" s="5">
        <f ca="1">IFERROR(__xludf.DUMMYFUNCTION("""COMPUTED_VALUE"""),1)</f>
        <v>1</v>
      </c>
      <c r="H239" s="5">
        <f ca="1">IFERROR(__xludf.DUMMYFUNCTION("""COMPUTED_VALUE"""),2)</f>
        <v>2</v>
      </c>
      <c r="I239" s="5">
        <f ca="1">IFERROR(__xludf.DUMMYFUNCTION("""COMPUTED_VALUE"""),2)</f>
        <v>2</v>
      </c>
      <c r="J239" s="5">
        <f ca="1">IFERROR(__xludf.DUMMYFUNCTION("""COMPUTED_VALUE"""),0)</f>
        <v>0</v>
      </c>
      <c r="K239" s="5">
        <f ca="1">IFERROR(__xludf.DUMMYFUNCTION("""COMPUTED_VALUE"""),0)</f>
        <v>0</v>
      </c>
      <c r="L239" s="5">
        <f ca="1">IFERROR(__xludf.DUMMYFUNCTION("""COMPUTED_VALUE"""),0)</f>
        <v>0</v>
      </c>
      <c r="M239">
        <f ca="1">IFERROR(__xludf.DUMMYFUNCTION("""COMPUTED_VALUE"""),5)</f>
        <v>5</v>
      </c>
      <c r="N239" s="8"/>
    </row>
    <row r="240" spans="1:14" ht="12.45" hidden="1">
      <c r="A240" t="str">
        <f ca="1">IFERROR(__xludf.DUMMYFUNCTION("""COMPUTED_VALUE"""),"III-3-217")</f>
        <v>III-3-217</v>
      </c>
      <c r="B240" t="str">
        <f ca="1">IFERROR(__xludf.DUMMYFUNCTION("""COMPUTED_VALUE"""),"Ковалева")</f>
        <v>Ковалева</v>
      </c>
      <c r="C240" t="str">
        <f ca="1">IFERROR(__xludf.DUMMYFUNCTION("""COMPUTED_VALUE"""),"Вероника")</f>
        <v>Вероника</v>
      </c>
      <c r="D240" t="str">
        <f ca="1">IFERROR(__xludf.DUMMYFUNCTION("""COMPUTED_VALUE"""),"Гимназия 157")</f>
        <v>Гимназия 157</v>
      </c>
      <c r="E240" s="5">
        <f ca="1">IFERROR(__xludf.DUMMYFUNCTION("""COMPUTED_VALUE"""),1)</f>
        <v>1</v>
      </c>
      <c r="F240" s="5">
        <f ca="1">IFERROR(__xludf.DUMMYFUNCTION("""COMPUTED_VALUE"""),0)</f>
        <v>0</v>
      </c>
      <c r="G240" s="5">
        <f ca="1">IFERROR(__xludf.DUMMYFUNCTION("""COMPUTED_VALUE"""),1)</f>
        <v>1</v>
      </c>
      <c r="H240" s="5">
        <f ca="1">IFERROR(__xludf.DUMMYFUNCTION("""COMPUTED_VALUE"""),0)</f>
        <v>0</v>
      </c>
      <c r="I240" s="5">
        <f ca="1">IFERROR(__xludf.DUMMYFUNCTION("""COMPUTED_VALUE"""),2)</f>
        <v>2</v>
      </c>
      <c r="J240" s="5">
        <f ca="1">IFERROR(__xludf.DUMMYFUNCTION("""COMPUTED_VALUE"""),0)</f>
        <v>0</v>
      </c>
      <c r="K240" s="5">
        <f ca="1">IFERROR(__xludf.DUMMYFUNCTION("""COMPUTED_VALUE"""),0)</f>
        <v>0</v>
      </c>
      <c r="L240" s="5">
        <f ca="1">IFERROR(__xludf.DUMMYFUNCTION("""COMPUTED_VALUE"""),1)</f>
        <v>1</v>
      </c>
      <c r="M240">
        <f ca="1">IFERROR(__xludf.DUMMYFUNCTION("""COMPUTED_VALUE"""),5)</f>
        <v>5</v>
      </c>
      <c r="N240" s="8"/>
    </row>
    <row r="241" spans="1:14" ht="12.45" hidden="1">
      <c r="A241" t="str">
        <f ca="1">IFERROR(__xludf.DUMMYFUNCTION("""COMPUTED_VALUE"""),"III-3-214")</f>
        <v>III-3-214</v>
      </c>
      <c r="B241" t="str">
        <f ca="1">IFERROR(__xludf.DUMMYFUNCTION("""COMPUTED_VALUE"""),"Клевцов")</f>
        <v>Клевцов</v>
      </c>
      <c r="C241" t="str">
        <f ca="1">IFERROR(__xludf.DUMMYFUNCTION("""COMPUTED_VALUE"""),"Добромир")</f>
        <v>Добромир</v>
      </c>
      <c r="D241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241" s="5">
        <f ca="1">IFERROR(__xludf.DUMMYFUNCTION("""COMPUTED_VALUE"""),1)</f>
        <v>1</v>
      </c>
      <c r="F241" s="5">
        <f ca="1">IFERROR(__xludf.DUMMYFUNCTION("""COMPUTED_VALUE"""),1)</f>
        <v>1</v>
      </c>
      <c r="G241" s="5">
        <f ca="1">IFERROR(__xludf.DUMMYFUNCTION("""COMPUTED_VALUE"""),0)</f>
        <v>0</v>
      </c>
      <c r="H241" s="5">
        <f ca="1">IFERROR(__xludf.DUMMYFUNCTION("""COMPUTED_VALUE"""),0)</f>
        <v>0</v>
      </c>
      <c r="I241" s="5">
        <f ca="1">IFERROR(__xludf.DUMMYFUNCTION("""COMPUTED_VALUE"""),2)</f>
        <v>2</v>
      </c>
      <c r="J241" s="5">
        <f ca="1">IFERROR(__xludf.DUMMYFUNCTION("""COMPUTED_VALUE"""),0)</f>
        <v>0</v>
      </c>
      <c r="K241" s="5">
        <f ca="1">IFERROR(__xludf.DUMMYFUNCTION("""COMPUTED_VALUE"""),1)</f>
        <v>1</v>
      </c>
      <c r="L241" s="5">
        <f ca="1">IFERROR(__xludf.DUMMYFUNCTION("""COMPUTED_VALUE"""),0)</f>
        <v>0</v>
      </c>
      <c r="M241">
        <f ca="1">IFERROR(__xludf.DUMMYFUNCTION("""COMPUTED_VALUE"""),5)</f>
        <v>5</v>
      </c>
      <c r="N241" s="8"/>
    </row>
    <row r="242" spans="1:14" ht="12.45" hidden="1">
      <c r="A242" t="str">
        <f ca="1">IFERROR(__xludf.DUMMYFUNCTION("""COMPUTED_VALUE"""),"V-3-424")</f>
        <v>V-3-424</v>
      </c>
      <c r="B242" t="str">
        <f ca="1">IFERROR(__xludf.DUMMYFUNCTION("""COMPUTED_VALUE"""),"Поцелуйко")</f>
        <v>Поцелуйко</v>
      </c>
      <c r="C242" t="str">
        <f ca="1">IFERROR(__xludf.DUMMYFUNCTION("""COMPUTED_VALUE"""),"Андрей")</f>
        <v>Андрей</v>
      </c>
      <c r="D242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242" s="5">
        <f ca="1">IFERROR(__xludf.DUMMYFUNCTION("""COMPUTED_VALUE"""),1)</f>
        <v>1</v>
      </c>
      <c r="F242" s="5">
        <f ca="1">IFERROR(__xludf.DUMMYFUNCTION("""COMPUTED_VALUE"""),0)</f>
        <v>0</v>
      </c>
      <c r="G242" s="5">
        <f ca="1">IFERROR(__xludf.DUMMYFUNCTION("""COMPUTED_VALUE"""),0)</f>
        <v>0</v>
      </c>
      <c r="H242" s="5">
        <f ca="1">IFERROR(__xludf.DUMMYFUNCTION("""COMPUTED_VALUE"""),0)</f>
        <v>0</v>
      </c>
      <c r="I242" s="5">
        <f ca="1">IFERROR(__xludf.DUMMYFUNCTION("""COMPUTED_VALUE"""),2)</f>
        <v>2</v>
      </c>
      <c r="J242" s="5">
        <f ca="1">IFERROR(__xludf.DUMMYFUNCTION("""COMPUTED_VALUE"""),0)</f>
        <v>0</v>
      </c>
      <c r="K242" s="5">
        <f ca="1">IFERROR(__xludf.DUMMYFUNCTION("""COMPUTED_VALUE"""),2)</f>
        <v>2</v>
      </c>
      <c r="L242" s="5">
        <f ca="1">IFERROR(__xludf.DUMMYFUNCTION("""COMPUTED_VALUE"""),0)</f>
        <v>0</v>
      </c>
      <c r="M242">
        <f ca="1">IFERROR(__xludf.DUMMYFUNCTION("""COMPUTED_VALUE"""),5)</f>
        <v>5</v>
      </c>
      <c r="N242" s="8"/>
    </row>
    <row r="243" spans="1:14" ht="12.45" hidden="1">
      <c r="A243" t="str">
        <f ca="1">IFERROR(__xludf.DUMMYFUNCTION("""COMPUTED_VALUE"""),"III-3-081")</f>
        <v>III-3-081</v>
      </c>
      <c r="B243" t="str">
        <f ca="1">IFERROR(__xludf.DUMMYFUNCTION("""COMPUTED_VALUE"""),"Верещагин")</f>
        <v>Верещагин</v>
      </c>
      <c r="C243" t="str">
        <f ca="1">IFERROR(__xludf.DUMMYFUNCTION("""COMPUTED_VALUE"""),"Федор")</f>
        <v>Федор</v>
      </c>
      <c r="D243" t="str">
        <f ca="1">IFERROR(__xludf.DUMMYFUNCTION("""COMPUTED_VALUE"""),"Школа 36")</f>
        <v>Школа 36</v>
      </c>
      <c r="E243" s="5">
        <f ca="1">IFERROR(__xludf.DUMMYFUNCTION("""COMPUTED_VALUE"""),3)</f>
        <v>3</v>
      </c>
      <c r="F243" s="5">
        <f ca="1">IFERROR(__xludf.DUMMYFUNCTION("""COMPUTED_VALUE"""),0)</f>
        <v>0</v>
      </c>
      <c r="G243" s="5">
        <f ca="1">IFERROR(__xludf.DUMMYFUNCTION("""COMPUTED_VALUE"""),0)</f>
        <v>0</v>
      </c>
      <c r="H243" s="5">
        <f ca="1">IFERROR(__xludf.DUMMYFUNCTION("""COMPUTED_VALUE"""),0)</f>
        <v>0</v>
      </c>
      <c r="I243" s="5">
        <f ca="1">IFERROR(__xludf.DUMMYFUNCTION("""COMPUTED_VALUE"""),2)</f>
        <v>2</v>
      </c>
      <c r="J243" s="5">
        <f ca="1">IFERROR(__xludf.DUMMYFUNCTION("""COMPUTED_VALUE"""),0)</f>
        <v>0</v>
      </c>
      <c r="K243" s="5">
        <f ca="1">IFERROR(__xludf.DUMMYFUNCTION("""COMPUTED_VALUE"""),0)</f>
        <v>0</v>
      </c>
      <c r="L243" s="5">
        <f ca="1">IFERROR(__xludf.DUMMYFUNCTION("""COMPUTED_VALUE"""),0)</f>
        <v>0</v>
      </c>
      <c r="M243">
        <f ca="1">IFERROR(__xludf.DUMMYFUNCTION("""COMPUTED_VALUE"""),5)</f>
        <v>5</v>
      </c>
      <c r="N243" s="8"/>
    </row>
    <row r="244" spans="1:14" ht="12.45" hidden="1">
      <c r="A244" t="str">
        <f ca="1">IFERROR(__xludf.DUMMYFUNCTION("""COMPUTED_VALUE"""),"III-3-212")</f>
        <v>III-3-212</v>
      </c>
      <c r="B244" t="str">
        <f ca="1">IFERROR(__xludf.DUMMYFUNCTION("""COMPUTED_VALUE"""),"Киселева")</f>
        <v>Киселева</v>
      </c>
      <c r="C244" t="str">
        <f ca="1">IFERROR(__xludf.DUMMYFUNCTION("""COMPUTED_VALUE"""),"Анастасия")</f>
        <v>Анастасия</v>
      </c>
      <c r="D244" t="str">
        <f ca="1">IFERROR(__xludf.DUMMYFUNCTION("""COMPUTED_VALUE"""),"Гимназия 526")</f>
        <v>Гимназия 526</v>
      </c>
      <c r="E244" s="5">
        <f ca="1">IFERROR(__xludf.DUMMYFUNCTION("""COMPUTED_VALUE"""),1)</f>
        <v>1</v>
      </c>
      <c r="F244" s="5">
        <f ca="1">IFERROR(__xludf.DUMMYFUNCTION("""COMPUTED_VALUE"""),0)</f>
        <v>0</v>
      </c>
      <c r="G244" s="5">
        <f ca="1">IFERROR(__xludf.DUMMYFUNCTION("""COMPUTED_VALUE"""),2)</f>
        <v>2</v>
      </c>
      <c r="H244" s="5">
        <f ca="1">IFERROR(__xludf.DUMMYFUNCTION("""COMPUTED_VALUE"""),0)</f>
        <v>0</v>
      </c>
      <c r="I244" s="5">
        <f ca="1">IFERROR(__xludf.DUMMYFUNCTION("""COMPUTED_VALUE"""),0)</f>
        <v>0</v>
      </c>
      <c r="J244" s="5">
        <f ca="1">IFERROR(__xludf.DUMMYFUNCTION("""COMPUTED_VALUE"""),0)</f>
        <v>0</v>
      </c>
      <c r="K244" s="5">
        <f ca="1">IFERROR(__xludf.DUMMYFUNCTION("""COMPUTED_VALUE"""),2)</f>
        <v>2</v>
      </c>
      <c r="L244" s="5">
        <f ca="1">IFERROR(__xludf.DUMMYFUNCTION("""COMPUTED_VALUE"""),0)</f>
        <v>0</v>
      </c>
      <c r="M244">
        <f ca="1">IFERROR(__xludf.DUMMYFUNCTION("""COMPUTED_VALUE"""),5)</f>
        <v>5</v>
      </c>
      <c r="N244" s="8"/>
    </row>
    <row r="245" spans="1:14" ht="12.45" hidden="1">
      <c r="A245" t="str">
        <f ca="1">IFERROR(__xludf.DUMMYFUNCTION("""COMPUTED_VALUE"""),"V-3-426")</f>
        <v>V-3-426</v>
      </c>
      <c r="B245" t="str">
        <f ca="1">IFERROR(__xludf.DUMMYFUNCTION("""COMPUTED_VALUE"""),"Примак")</f>
        <v>Примак</v>
      </c>
      <c r="C245" t="str">
        <f ca="1">IFERROR(__xludf.DUMMYFUNCTION("""COMPUTED_VALUE"""),"Анна")</f>
        <v>Анна</v>
      </c>
      <c r="D245" t="str">
        <f ca="1">IFERROR(__xludf.DUMMYFUNCTION("""COMPUTED_VALUE"""),"Лицей 126")</f>
        <v>Лицей 126</v>
      </c>
      <c r="E245" s="5">
        <f ca="1">IFERROR(__xludf.DUMMYFUNCTION("""COMPUTED_VALUE"""),0)</f>
        <v>0</v>
      </c>
      <c r="F245" s="5">
        <f ca="1">IFERROR(__xludf.DUMMYFUNCTION("""COMPUTED_VALUE"""),2)</f>
        <v>2</v>
      </c>
      <c r="G245" s="5">
        <f ca="1">IFERROR(__xludf.DUMMYFUNCTION("""COMPUTED_VALUE"""),2)</f>
        <v>2</v>
      </c>
      <c r="H245" s="5">
        <f ca="1">IFERROR(__xludf.DUMMYFUNCTION("""COMPUTED_VALUE"""),0)</f>
        <v>0</v>
      </c>
      <c r="I245" s="5">
        <f ca="1">IFERROR(__xludf.DUMMYFUNCTION("""COMPUTED_VALUE"""),0)</f>
        <v>0</v>
      </c>
      <c r="J245" s="5">
        <f ca="1">IFERROR(__xludf.DUMMYFUNCTION("""COMPUTED_VALUE"""),0)</f>
        <v>0</v>
      </c>
      <c r="K245" s="5">
        <f ca="1">IFERROR(__xludf.DUMMYFUNCTION("""COMPUTED_VALUE"""),1)</f>
        <v>1</v>
      </c>
      <c r="L245" s="5">
        <f ca="1">IFERROR(__xludf.DUMMYFUNCTION("""COMPUTED_VALUE"""),0)</f>
        <v>0</v>
      </c>
      <c r="M245">
        <f ca="1">IFERROR(__xludf.DUMMYFUNCTION("""COMPUTED_VALUE"""),5)</f>
        <v>5</v>
      </c>
      <c r="N245" s="8"/>
    </row>
    <row r="246" spans="1:14" ht="12.45" hidden="1">
      <c r="A246" t="str">
        <f ca="1">IFERROR(__xludf.DUMMYFUNCTION("""COMPUTED_VALUE"""),"V-3-428")</f>
        <v>V-3-428</v>
      </c>
      <c r="B246" t="str">
        <f ca="1">IFERROR(__xludf.DUMMYFUNCTION("""COMPUTED_VALUE"""),"Прохоров")</f>
        <v>Прохоров</v>
      </c>
      <c r="C246" t="str">
        <f ca="1">IFERROR(__xludf.DUMMYFUNCTION("""COMPUTED_VALUE"""),"Александр")</f>
        <v>Александр</v>
      </c>
      <c r="D246" t="str">
        <f ca="1">IFERROR(__xludf.DUMMYFUNCTION("""COMPUTED_VALUE"""),"Лицей 470")</f>
        <v>Лицей 470</v>
      </c>
      <c r="E246" s="5">
        <f ca="1">IFERROR(__xludf.DUMMYFUNCTION("""COMPUTED_VALUE"""),0)</f>
        <v>0</v>
      </c>
      <c r="F246" s="5">
        <f ca="1">IFERROR(__xludf.DUMMYFUNCTION("""COMPUTED_VALUE"""),2)</f>
        <v>2</v>
      </c>
      <c r="G246" s="5">
        <f ca="1">IFERROR(__xludf.DUMMYFUNCTION("""COMPUTED_VALUE"""),2)</f>
        <v>2</v>
      </c>
      <c r="H246" s="5">
        <f ca="1">IFERROR(__xludf.DUMMYFUNCTION("""COMPUTED_VALUE"""),0)</f>
        <v>0</v>
      </c>
      <c r="I246" s="5">
        <f ca="1">IFERROR(__xludf.DUMMYFUNCTION("""COMPUTED_VALUE"""),0)</f>
        <v>0</v>
      </c>
      <c r="J246" s="5">
        <f ca="1">IFERROR(__xludf.DUMMYFUNCTION("""COMPUTED_VALUE"""),1)</f>
        <v>1</v>
      </c>
      <c r="K246" s="5">
        <f ca="1">IFERROR(__xludf.DUMMYFUNCTION("""COMPUTED_VALUE"""),0)</f>
        <v>0</v>
      </c>
      <c r="L246" s="5">
        <f ca="1">IFERROR(__xludf.DUMMYFUNCTION("""COMPUTED_VALUE"""),0)</f>
        <v>0</v>
      </c>
      <c r="M246">
        <f ca="1">IFERROR(__xludf.DUMMYFUNCTION("""COMPUTED_VALUE"""),5)</f>
        <v>5</v>
      </c>
      <c r="N246" s="8"/>
    </row>
    <row r="247" spans="1:14" ht="12.45" hidden="1">
      <c r="A247" t="str">
        <f ca="1">IFERROR(__xludf.DUMMYFUNCTION("""COMPUTED_VALUE"""),"V-3-575")</f>
        <v>V-3-575</v>
      </c>
      <c r="B247" t="str">
        <f ca="1">IFERROR(__xludf.DUMMYFUNCTION("""COMPUTED_VALUE"""),"Чурилин")</f>
        <v>Чурилин</v>
      </c>
      <c r="C247" t="str">
        <f ca="1">IFERROR(__xludf.DUMMYFUNCTION("""COMPUTED_VALUE"""),"Фёдор")</f>
        <v>Фёдор</v>
      </c>
      <c r="D247" t="str">
        <f ca="1">IFERROR(__xludf.DUMMYFUNCTION("""COMPUTED_VALUE"""),"Гимназия 261")</f>
        <v>Гимназия 261</v>
      </c>
      <c r="E247" s="5">
        <f ca="1">IFERROR(__xludf.DUMMYFUNCTION("""COMPUTED_VALUE"""),0)</f>
        <v>0</v>
      </c>
      <c r="F247" s="5">
        <f ca="1">IFERROR(__xludf.DUMMYFUNCTION("""COMPUTED_VALUE"""),2)</f>
        <v>2</v>
      </c>
      <c r="G247" s="5">
        <f ca="1">IFERROR(__xludf.DUMMYFUNCTION("""COMPUTED_VALUE"""),2)</f>
        <v>2</v>
      </c>
      <c r="H247" s="5">
        <f ca="1">IFERROR(__xludf.DUMMYFUNCTION("""COMPUTED_VALUE"""),0)</f>
        <v>0</v>
      </c>
      <c r="I247" s="5">
        <f ca="1">IFERROR(__xludf.DUMMYFUNCTION("""COMPUTED_VALUE"""),0)</f>
        <v>0</v>
      </c>
      <c r="J247" s="5">
        <f ca="1">IFERROR(__xludf.DUMMYFUNCTION("""COMPUTED_VALUE"""),0)</f>
        <v>0</v>
      </c>
      <c r="K247" s="5">
        <f ca="1">IFERROR(__xludf.DUMMYFUNCTION("""COMPUTED_VALUE"""),1)</f>
        <v>1</v>
      </c>
      <c r="L247" s="5">
        <f ca="1">IFERROR(__xludf.DUMMYFUNCTION("""COMPUTED_VALUE"""),0)</f>
        <v>0</v>
      </c>
      <c r="M247">
        <f ca="1">IFERROR(__xludf.DUMMYFUNCTION("""COMPUTED_VALUE"""),5)</f>
        <v>5</v>
      </c>
      <c r="N247" s="8"/>
    </row>
    <row r="248" spans="1:14" ht="12.45" hidden="1">
      <c r="A248" t="str">
        <f ca="1">IFERROR(__xludf.DUMMYFUNCTION("""COMPUTED_VALUE"""),"III-3-267")</f>
        <v>III-3-267</v>
      </c>
      <c r="B248" t="str">
        <f ca="1">IFERROR(__xludf.DUMMYFUNCTION("""COMPUTED_VALUE"""),"Курдяева")</f>
        <v>Курдяева</v>
      </c>
      <c r="C248" t="str">
        <f ca="1">IFERROR(__xludf.DUMMYFUNCTION("""COMPUTED_VALUE"""),"Мария")</f>
        <v>Мария</v>
      </c>
      <c r="D248" t="str">
        <f ca="1">IFERROR(__xludf.DUMMYFUNCTION("""COMPUTED_VALUE"""),"Школа 77")</f>
        <v>Школа 77</v>
      </c>
      <c r="E248" s="5">
        <f ca="1">IFERROR(__xludf.DUMMYFUNCTION("""COMPUTED_VALUE"""),0)</f>
        <v>0</v>
      </c>
      <c r="F248" s="5">
        <f ca="1">IFERROR(__xludf.DUMMYFUNCTION("""COMPUTED_VALUE"""),0)</f>
        <v>0</v>
      </c>
      <c r="G248" s="5">
        <f ca="1">IFERROR(__xludf.DUMMYFUNCTION("""COMPUTED_VALUE"""),1)</f>
        <v>1</v>
      </c>
      <c r="H248" s="5">
        <f ca="1">IFERROR(__xludf.DUMMYFUNCTION("""COMPUTED_VALUE"""),0)</f>
        <v>0</v>
      </c>
      <c r="I248" s="5">
        <f ca="1">IFERROR(__xludf.DUMMYFUNCTION("""COMPUTED_VALUE"""),0)</f>
        <v>0</v>
      </c>
      <c r="J248" s="5">
        <f ca="1">IFERROR(__xludf.DUMMYFUNCTION("""COMPUTED_VALUE"""),1)</f>
        <v>1</v>
      </c>
      <c r="K248" s="5">
        <f ca="1">IFERROR(__xludf.DUMMYFUNCTION("""COMPUTED_VALUE"""),2)</f>
        <v>2</v>
      </c>
      <c r="L248" s="5">
        <f ca="1">IFERROR(__xludf.DUMMYFUNCTION("""COMPUTED_VALUE"""),1)</f>
        <v>1</v>
      </c>
      <c r="M248">
        <f ca="1">IFERROR(__xludf.DUMMYFUNCTION("""COMPUTED_VALUE"""),5)</f>
        <v>5</v>
      </c>
      <c r="N248" s="8"/>
    </row>
    <row r="249" spans="1:14" ht="12.45" hidden="1">
      <c r="A249" t="str">
        <f ca="1">IFERROR(__xludf.DUMMYFUNCTION("""COMPUTED_VALUE"""),"III-3-189")</f>
        <v>III-3-189</v>
      </c>
      <c r="B249" t="str">
        <f ca="1">IFERROR(__xludf.DUMMYFUNCTION("""COMPUTED_VALUE"""),"Каверзина")</f>
        <v>Каверзина</v>
      </c>
      <c r="C249" t="str">
        <f ca="1">IFERROR(__xludf.DUMMYFUNCTION("""COMPUTED_VALUE"""),"София")</f>
        <v>София</v>
      </c>
      <c r="D249" t="str">
        <f ca="1">IFERROR(__xludf.DUMMYFUNCTION("""COMPUTED_VALUE"""),"Лицей 101")</f>
        <v>Лицей 101</v>
      </c>
      <c r="E249" s="5">
        <f ca="1">IFERROR(__xludf.DUMMYFUNCTION("""COMPUTED_VALUE"""),1)</f>
        <v>1</v>
      </c>
      <c r="F249" s="5">
        <f ca="1">IFERROR(__xludf.DUMMYFUNCTION("""COMPUTED_VALUE"""),0)</f>
        <v>0</v>
      </c>
      <c r="G249" s="5">
        <f ca="1">IFERROR(__xludf.DUMMYFUNCTION("""COMPUTED_VALUE"""),1)</f>
        <v>1</v>
      </c>
      <c r="H249" s="5">
        <f ca="1">IFERROR(__xludf.DUMMYFUNCTION("""COMPUTED_VALUE"""),0)</f>
        <v>0</v>
      </c>
      <c r="I249" s="5">
        <f ca="1">IFERROR(__xludf.DUMMYFUNCTION("""COMPUTED_VALUE"""),0)</f>
        <v>0</v>
      </c>
      <c r="J249" s="5">
        <f ca="1">IFERROR(__xludf.DUMMYFUNCTION("""COMPUTED_VALUE"""),1)</f>
        <v>1</v>
      </c>
      <c r="K249" s="5">
        <f ca="1">IFERROR(__xludf.DUMMYFUNCTION("""COMPUTED_VALUE"""),0)</f>
        <v>0</v>
      </c>
      <c r="L249" s="5">
        <f ca="1">IFERROR(__xludf.DUMMYFUNCTION("""COMPUTED_VALUE"""),2)</f>
        <v>2</v>
      </c>
      <c r="M249">
        <f ca="1">IFERROR(__xludf.DUMMYFUNCTION("""COMPUTED_VALUE"""),5)</f>
        <v>5</v>
      </c>
      <c r="N249" s="8"/>
    </row>
    <row r="250" spans="1:14" ht="12.45" hidden="1">
      <c r="A250" t="str">
        <f ca="1">IFERROR(__xludf.DUMMYFUNCTION("""COMPUTED_VALUE"""),"III-3-134")</f>
        <v>III-3-134</v>
      </c>
      <c r="B250" t="str">
        <f ca="1">IFERROR(__xludf.DUMMYFUNCTION("""COMPUTED_VALUE"""),"Дроздова")</f>
        <v>Дроздова</v>
      </c>
      <c r="C250" t="str">
        <f ca="1">IFERROR(__xludf.DUMMYFUNCTION("""COMPUTED_VALUE"""),"Тамара")</f>
        <v>Тамара</v>
      </c>
      <c r="D250" t="str">
        <f ca="1">IFERROR(__xludf.DUMMYFUNCTION("""COMPUTED_VALUE"""),"Школа Квадривиум")</f>
        <v>Школа Квадривиум</v>
      </c>
      <c r="E250" s="5">
        <f ca="1">IFERROR(__xludf.DUMMYFUNCTION("""COMPUTED_VALUE"""),1)</f>
        <v>1</v>
      </c>
      <c r="F250" s="5">
        <f ca="1">IFERROR(__xludf.DUMMYFUNCTION("""COMPUTED_VALUE"""),1)</f>
        <v>1</v>
      </c>
      <c r="G250" s="5">
        <f ca="1">IFERROR(__xludf.DUMMYFUNCTION("""COMPUTED_VALUE"""),2)</f>
        <v>2</v>
      </c>
      <c r="H250" s="5">
        <f ca="1">IFERROR(__xludf.DUMMYFUNCTION("""COMPUTED_VALUE"""),0)</f>
        <v>0</v>
      </c>
      <c r="I250" s="5">
        <f ca="1">IFERROR(__xludf.DUMMYFUNCTION("""COMPUTED_VALUE"""),0)</f>
        <v>0</v>
      </c>
      <c r="J250" s="5">
        <f ca="1">IFERROR(__xludf.DUMMYFUNCTION("""COMPUTED_VALUE"""),1)</f>
        <v>1</v>
      </c>
      <c r="K250" s="5">
        <f ca="1">IFERROR(__xludf.DUMMYFUNCTION("""COMPUTED_VALUE"""),0)</f>
        <v>0</v>
      </c>
      <c r="L250" s="5">
        <f ca="1">IFERROR(__xludf.DUMMYFUNCTION("""COMPUTED_VALUE"""),0)</f>
        <v>0</v>
      </c>
      <c r="M250">
        <f ca="1">IFERROR(__xludf.DUMMYFUNCTION("""COMPUTED_VALUE"""),5)</f>
        <v>5</v>
      </c>
      <c r="N250" s="8"/>
    </row>
    <row r="251" spans="1:14" ht="12.45" hidden="1">
      <c r="A251" t="str">
        <f ca="1">IFERROR(__xludf.DUMMYFUNCTION("""COMPUTED_VALUE"""),"III-3-052")</f>
        <v>III-3-052</v>
      </c>
      <c r="B251" t="str">
        <f ca="1">IFERROR(__xludf.DUMMYFUNCTION("""COMPUTED_VALUE"""),"Болданова")</f>
        <v>Болданова</v>
      </c>
      <c r="C251" t="str">
        <f ca="1">IFERROR(__xludf.DUMMYFUNCTION("""COMPUTED_VALUE"""),"Айлан")</f>
        <v>Айлан</v>
      </c>
      <c r="D251" t="str">
        <f ca="1">IFERROR(__xludf.DUMMYFUNCTION("""COMPUTED_VALUE"""),"Школа 1")</f>
        <v>Школа 1</v>
      </c>
      <c r="E251" s="5">
        <f ca="1">IFERROR(__xludf.DUMMYFUNCTION("""COMPUTED_VALUE"""),0)</f>
        <v>0</v>
      </c>
      <c r="F251" s="5">
        <f ca="1">IFERROR(__xludf.DUMMYFUNCTION("""COMPUTED_VALUE"""),2)</f>
        <v>2</v>
      </c>
      <c r="G251" s="5">
        <f ca="1">IFERROR(__xludf.DUMMYFUNCTION("""COMPUTED_VALUE"""),2)</f>
        <v>2</v>
      </c>
      <c r="H251" s="5">
        <f ca="1">IFERROR(__xludf.DUMMYFUNCTION("""COMPUTED_VALUE"""),0)</f>
        <v>0</v>
      </c>
      <c r="I251" s="5">
        <f ca="1">IFERROR(__xludf.DUMMYFUNCTION("""COMPUTED_VALUE"""),0)</f>
        <v>0</v>
      </c>
      <c r="J251" s="5">
        <f ca="1">IFERROR(__xludf.DUMMYFUNCTION("""COMPUTED_VALUE"""),0)</f>
        <v>0</v>
      </c>
      <c r="K251" s="5">
        <f ca="1">IFERROR(__xludf.DUMMYFUNCTION("""COMPUTED_VALUE"""),1)</f>
        <v>1</v>
      </c>
      <c r="L251" s="5">
        <f ca="1">IFERROR(__xludf.DUMMYFUNCTION("""COMPUTED_VALUE"""),0)</f>
        <v>0</v>
      </c>
      <c r="M251">
        <f ca="1">IFERROR(__xludf.DUMMYFUNCTION("""COMPUTED_VALUE"""),5)</f>
        <v>5</v>
      </c>
      <c r="N251" s="8"/>
    </row>
    <row r="252" spans="1:14" ht="12.45" hidden="1">
      <c r="A252" t="str">
        <f ca="1">IFERROR(__xludf.DUMMYFUNCTION("""COMPUTED_VALUE"""),"V-3-364")</f>
        <v>V-3-364</v>
      </c>
      <c r="B252" t="str">
        <f ca="1">IFERROR(__xludf.DUMMYFUNCTION("""COMPUTED_VALUE"""),"Ненахова")</f>
        <v>Ненахова</v>
      </c>
      <c r="C252" t="str">
        <f ca="1">IFERROR(__xludf.DUMMYFUNCTION("""COMPUTED_VALUE"""),"София")</f>
        <v>София</v>
      </c>
      <c r="D252" t="str">
        <f ca="1">IFERROR(__xludf.DUMMYFUNCTION("""COMPUTED_VALUE"""),"Школа 300")</f>
        <v>Школа 300</v>
      </c>
      <c r="E252" s="5">
        <f ca="1">IFERROR(__xludf.DUMMYFUNCTION("""COMPUTED_VALUE"""),0)</f>
        <v>0</v>
      </c>
      <c r="F252" s="5">
        <f ca="1">IFERROR(__xludf.DUMMYFUNCTION("""COMPUTED_VALUE"""),2)</f>
        <v>2</v>
      </c>
      <c r="G252" s="5">
        <f ca="1">IFERROR(__xludf.DUMMYFUNCTION("""COMPUTED_VALUE"""),1)</f>
        <v>1</v>
      </c>
      <c r="H252" s="5">
        <f ca="1">IFERROR(__xludf.DUMMYFUNCTION("""COMPUTED_VALUE"""),0)</f>
        <v>0</v>
      </c>
      <c r="I252" s="5">
        <f ca="1">IFERROR(__xludf.DUMMYFUNCTION("""COMPUTED_VALUE"""),0)</f>
        <v>0</v>
      </c>
      <c r="J252" s="5">
        <f ca="1">IFERROR(__xludf.DUMMYFUNCTION("""COMPUTED_VALUE"""),0)</f>
        <v>0</v>
      </c>
      <c r="K252" s="5">
        <f ca="1">IFERROR(__xludf.DUMMYFUNCTION("""COMPUTED_VALUE"""),2)</f>
        <v>2</v>
      </c>
      <c r="L252" s="5">
        <f ca="1">IFERROR(__xludf.DUMMYFUNCTION("""COMPUTED_VALUE"""),0)</f>
        <v>0</v>
      </c>
      <c r="M252">
        <f ca="1">IFERROR(__xludf.DUMMYFUNCTION("""COMPUTED_VALUE"""),5)</f>
        <v>5</v>
      </c>
      <c r="N252" s="8"/>
    </row>
    <row r="253" spans="1:14" ht="12.45" hidden="1">
      <c r="A253" t="str">
        <f ca="1">IFERROR(__xludf.DUMMYFUNCTION("""COMPUTED_VALUE"""),"III-3-103")</f>
        <v>III-3-103</v>
      </c>
      <c r="B253" t="str">
        <f ca="1">IFERROR(__xludf.DUMMYFUNCTION("""COMPUTED_VALUE"""),"Гецов")</f>
        <v>Гецов</v>
      </c>
      <c r="C253" t="str">
        <f ca="1">IFERROR(__xludf.DUMMYFUNCTION("""COMPUTED_VALUE"""),"Герман")</f>
        <v>Герман</v>
      </c>
      <c r="D253" t="str">
        <f ca="1">IFERROR(__xludf.DUMMYFUNCTION("""COMPUTED_VALUE"""),"Гимназия 642")</f>
        <v>Гимназия 642</v>
      </c>
      <c r="E253" s="5">
        <f ca="1">IFERROR(__xludf.DUMMYFUNCTION("""COMPUTED_VALUE"""),3)</f>
        <v>3</v>
      </c>
      <c r="F253" s="5">
        <f ca="1">IFERROR(__xludf.DUMMYFUNCTION("""COMPUTED_VALUE"""),0)</f>
        <v>0</v>
      </c>
      <c r="G253" s="5">
        <f ca="1">IFERROR(__xludf.DUMMYFUNCTION("""COMPUTED_VALUE"""),1)</f>
        <v>1</v>
      </c>
      <c r="H253" s="5">
        <f ca="1">IFERROR(__xludf.DUMMYFUNCTION("""COMPUTED_VALUE"""),0)</f>
        <v>0</v>
      </c>
      <c r="I253" s="5">
        <f ca="1">IFERROR(__xludf.DUMMYFUNCTION("""COMPUTED_VALUE"""),0)</f>
        <v>0</v>
      </c>
      <c r="J253" s="5">
        <f ca="1">IFERROR(__xludf.DUMMYFUNCTION("""COMPUTED_VALUE"""),0)</f>
        <v>0</v>
      </c>
      <c r="K253" s="5">
        <f ca="1">IFERROR(__xludf.DUMMYFUNCTION("""COMPUTED_VALUE"""),1)</f>
        <v>1</v>
      </c>
      <c r="L253" s="5">
        <f ca="1">IFERROR(__xludf.DUMMYFUNCTION("""COMPUTED_VALUE"""),0)</f>
        <v>0</v>
      </c>
      <c r="M253">
        <f ca="1">IFERROR(__xludf.DUMMYFUNCTION("""COMPUTED_VALUE"""),5)</f>
        <v>5</v>
      </c>
      <c r="N253" s="8"/>
    </row>
    <row r="254" spans="1:14" ht="12.45" hidden="1">
      <c r="A254" t="str">
        <f ca="1">IFERROR(__xludf.DUMMYFUNCTION("""COMPUTED_VALUE"""),"III-3-026")</f>
        <v>III-3-026</v>
      </c>
      <c r="B254" t="str">
        <f ca="1">IFERROR(__xludf.DUMMYFUNCTION("""COMPUTED_VALUE"""),"Афонов")</f>
        <v>Афонов</v>
      </c>
      <c r="C254" t="str">
        <f ca="1">IFERROR(__xludf.DUMMYFUNCTION("""COMPUTED_VALUE"""),"Александр")</f>
        <v>Александр</v>
      </c>
      <c r="D254" t="str">
        <f ca="1">IFERROR(__xludf.DUMMYFUNCTION("""COMPUTED_VALUE"""),"Гимназия 56")</f>
        <v>Гимназия 56</v>
      </c>
      <c r="E254" s="5">
        <f ca="1">IFERROR(__xludf.DUMMYFUNCTION("""COMPUTED_VALUE"""),1)</f>
        <v>1</v>
      </c>
      <c r="F254" s="5">
        <f ca="1">IFERROR(__xludf.DUMMYFUNCTION("""COMPUTED_VALUE"""),1)</f>
        <v>1</v>
      </c>
      <c r="G254" s="5">
        <f ca="1">IFERROR(__xludf.DUMMYFUNCTION("""COMPUTED_VALUE"""),1)</f>
        <v>1</v>
      </c>
      <c r="H254" s="5">
        <f ca="1">IFERROR(__xludf.DUMMYFUNCTION("""COMPUTED_VALUE"""),0)</f>
        <v>0</v>
      </c>
      <c r="I254" s="5">
        <f ca="1">IFERROR(__xludf.DUMMYFUNCTION("""COMPUTED_VALUE"""),0)</f>
        <v>0</v>
      </c>
      <c r="J254" s="5">
        <f ca="1">IFERROR(__xludf.DUMMYFUNCTION("""COMPUTED_VALUE"""),0)</f>
        <v>0</v>
      </c>
      <c r="K254" s="5">
        <f ca="1">IFERROR(__xludf.DUMMYFUNCTION("""COMPUTED_VALUE"""),0)</f>
        <v>0</v>
      </c>
      <c r="L254" s="5">
        <f ca="1">IFERROR(__xludf.DUMMYFUNCTION("""COMPUTED_VALUE"""),2)</f>
        <v>2</v>
      </c>
      <c r="M254">
        <f ca="1">IFERROR(__xludf.DUMMYFUNCTION("""COMPUTED_VALUE"""),5)</f>
        <v>5</v>
      </c>
      <c r="N254" s="8"/>
    </row>
    <row r="255" spans="1:14" ht="12.45" hidden="1">
      <c r="A255" t="str">
        <f ca="1">IFERROR(__xludf.DUMMYFUNCTION("""COMPUTED_VALUE"""),"III-3-138")</f>
        <v>III-3-138</v>
      </c>
      <c r="B255" t="str">
        <f ca="1">IFERROR(__xludf.DUMMYFUNCTION("""COMPUTED_VALUE"""),"Дядькин")</f>
        <v>Дядькин</v>
      </c>
      <c r="C255" t="str">
        <f ca="1">IFERROR(__xludf.DUMMYFUNCTION("""COMPUTED_VALUE"""),"Георгий")</f>
        <v>Георгий</v>
      </c>
      <c r="D255" t="str">
        <f ca="1">IFERROR(__xludf.DUMMYFUNCTION("""COMPUTED_VALUE"""),"Школа 700")</f>
        <v>Школа 700</v>
      </c>
      <c r="E255" s="5">
        <f ca="1">IFERROR(__xludf.DUMMYFUNCTION("""COMPUTED_VALUE"""),1)</f>
        <v>1</v>
      </c>
      <c r="F255" s="5">
        <f ca="1">IFERROR(__xludf.DUMMYFUNCTION("""COMPUTED_VALUE"""),0)</f>
        <v>0</v>
      </c>
      <c r="G255" s="5">
        <f ca="1">IFERROR(__xludf.DUMMYFUNCTION("""COMPUTED_VALUE"""),2)</f>
        <v>2</v>
      </c>
      <c r="H255" s="5">
        <f ca="1">IFERROR(__xludf.DUMMYFUNCTION("""COMPUTED_VALUE"""),0)</f>
        <v>0</v>
      </c>
      <c r="I255" s="5">
        <f ca="1">IFERROR(__xludf.DUMMYFUNCTION("""COMPUTED_VALUE"""),0)</f>
        <v>0</v>
      </c>
      <c r="J255" s="5">
        <f ca="1">IFERROR(__xludf.DUMMYFUNCTION("""COMPUTED_VALUE"""),0)</f>
        <v>0</v>
      </c>
      <c r="K255" s="5">
        <f ca="1">IFERROR(__xludf.DUMMYFUNCTION("""COMPUTED_VALUE"""),2)</f>
        <v>2</v>
      </c>
      <c r="L255" s="5">
        <f ca="1">IFERROR(__xludf.DUMMYFUNCTION("""COMPUTED_VALUE"""),0)</f>
        <v>0</v>
      </c>
      <c r="M255">
        <f ca="1">IFERROR(__xludf.DUMMYFUNCTION("""COMPUTED_VALUE"""),5)</f>
        <v>5</v>
      </c>
      <c r="N255" s="8"/>
    </row>
    <row r="256" spans="1:14" ht="12.45" hidden="1">
      <c r="A256" t="str">
        <f ca="1">IFERROR(__xludf.DUMMYFUNCTION("""COMPUTED_VALUE"""),"V-3-519")</f>
        <v>V-3-519</v>
      </c>
      <c r="B256" t="str">
        <f ca="1">IFERROR(__xludf.DUMMYFUNCTION("""COMPUTED_VALUE"""),"Толмаков")</f>
        <v>Толмаков</v>
      </c>
      <c r="C256" t="str">
        <f ca="1">IFERROR(__xludf.DUMMYFUNCTION("""COMPUTED_VALUE"""),"Леонид")</f>
        <v>Леонид</v>
      </c>
      <c r="D256" t="str">
        <f ca="1">IFERROR(__xludf.DUMMYFUNCTION("""COMPUTED_VALUE"""),"Школа 46")</f>
        <v>Школа 46</v>
      </c>
      <c r="E256" s="5">
        <f ca="1">IFERROR(__xludf.DUMMYFUNCTION("""COMPUTED_VALUE"""),1)</f>
        <v>1</v>
      </c>
      <c r="F256" s="5">
        <f ca="1">IFERROR(__xludf.DUMMYFUNCTION("""COMPUTED_VALUE"""),0)</f>
        <v>0</v>
      </c>
      <c r="G256" s="5">
        <f ca="1">IFERROR(__xludf.DUMMYFUNCTION("""COMPUTED_VALUE"""),3)</f>
        <v>3</v>
      </c>
      <c r="H256" s="5">
        <f ca="1">IFERROR(__xludf.DUMMYFUNCTION("""COMPUTED_VALUE"""),0)</f>
        <v>0</v>
      </c>
      <c r="I256" s="5">
        <f ca="1">IFERROR(__xludf.DUMMYFUNCTION("""COMPUTED_VALUE"""),0)</f>
        <v>0</v>
      </c>
      <c r="J256" s="5">
        <f ca="1">IFERROR(__xludf.DUMMYFUNCTION("""COMPUTED_VALUE"""),1)</f>
        <v>1</v>
      </c>
      <c r="K256" s="5">
        <f ca="1">IFERROR(__xludf.DUMMYFUNCTION("""COMPUTED_VALUE"""),0)</f>
        <v>0</v>
      </c>
      <c r="L256" s="5">
        <f ca="1">IFERROR(__xludf.DUMMYFUNCTION("""COMPUTED_VALUE"""),0)</f>
        <v>0</v>
      </c>
      <c r="M256">
        <f ca="1">IFERROR(__xludf.DUMMYFUNCTION("""COMPUTED_VALUE"""),5)</f>
        <v>5</v>
      </c>
      <c r="N256" s="8"/>
    </row>
    <row r="257" spans="1:14" ht="12.45" hidden="1">
      <c r="A257" t="str">
        <f ca="1">IFERROR(__xludf.DUMMYFUNCTION("""COMPUTED_VALUE"""),"V-3-561")</f>
        <v>V-3-561</v>
      </c>
      <c r="B257" t="str">
        <f ca="1">IFERROR(__xludf.DUMMYFUNCTION("""COMPUTED_VALUE"""),"Цветков")</f>
        <v>Цветков</v>
      </c>
      <c r="C257" t="str">
        <f ca="1">IFERROR(__xludf.DUMMYFUNCTION("""COMPUTED_VALUE"""),"Ярослав")</f>
        <v>Ярослав</v>
      </c>
      <c r="D257" t="str">
        <f ca="1">IFERROR(__xludf.DUMMYFUNCTION("""COMPUTED_VALUE"""),"Школа Бугровская Средняя Общеобразовательная Школа")</f>
        <v>Школа Бугровская Средняя Общеобразовательная Школа</v>
      </c>
      <c r="E257" s="5">
        <f ca="1">IFERROR(__xludf.DUMMYFUNCTION("""COMPUTED_VALUE"""),1)</f>
        <v>1</v>
      </c>
      <c r="F257" s="5">
        <f ca="1">IFERROR(__xludf.DUMMYFUNCTION("""COMPUTED_VALUE"""),0)</f>
        <v>0</v>
      </c>
      <c r="G257" s="5">
        <f ca="1">IFERROR(__xludf.DUMMYFUNCTION("""COMPUTED_VALUE"""),3)</f>
        <v>3</v>
      </c>
      <c r="H257" s="5">
        <f ca="1">IFERROR(__xludf.DUMMYFUNCTION("""COMPUTED_VALUE"""),0)</f>
        <v>0</v>
      </c>
      <c r="I257" s="5">
        <f ca="1">IFERROR(__xludf.DUMMYFUNCTION("""COMPUTED_VALUE"""),0)</f>
        <v>0</v>
      </c>
      <c r="J257" s="5">
        <f ca="1">IFERROR(__xludf.DUMMYFUNCTION("""COMPUTED_VALUE"""),0)</f>
        <v>0</v>
      </c>
      <c r="K257" s="5">
        <f ca="1">IFERROR(__xludf.DUMMYFUNCTION("""COMPUTED_VALUE"""),1)</f>
        <v>1</v>
      </c>
      <c r="L257" s="5">
        <f ca="1">IFERROR(__xludf.DUMMYFUNCTION("""COMPUTED_VALUE"""),0)</f>
        <v>0</v>
      </c>
      <c r="M257">
        <f ca="1">IFERROR(__xludf.DUMMYFUNCTION("""COMPUTED_VALUE"""),5)</f>
        <v>5</v>
      </c>
      <c r="N257" s="8"/>
    </row>
    <row r="258" spans="1:14" ht="12.45" hidden="1">
      <c r="A258" t="str">
        <f ca="1">IFERROR(__xludf.DUMMYFUNCTION("""COMPUTED_VALUE"""),"V-3-325")</f>
        <v>V-3-325</v>
      </c>
      <c r="B258" t="str">
        <f ca="1">IFERROR(__xludf.DUMMYFUNCTION("""COMPUTED_VALUE"""),"Мелкишев")</f>
        <v>Мелкишев</v>
      </c>
      <c r="C258" t="str">
        <f ca="1">IFERROR(__xludf.DUMMYFUNCTION("""COMPUTED_VALUE"""),"Михаил")</f>
        <v>Михаил</v>
      </c>
      <c r="D258" t="str">
        <f ca="1">IFERROR(__xludf.DUMMYFUNCTION("""COMPUTED_VALUE"""),"Школа 230")</f>
        <v>Школа 230</v>
      </c>
      <c r="E258" s="5">
        <f ca="1">IFERROR(__xludf.DUMMYFUNCTION("""COMPUTED_VALUE"""),1)</f>
        <v>1</v>
      </c>
      <c r="F258" s="5">
        <f ca="1">IFERROR(__xludf.DUMMYFUNCTION("""COMPUTED_VALUE"""),1)</f>
        <v>1</v>
      </c>
      <c r="G258" s="5">
        <f ca="1">IFERROR(__xludf.DUMMYFUNCTION("""COMPUTED_VALUE"""),1)</f>
        <v>1</v>
      </c>
      <c r="H258" s="5">
        <f ca="1">IFERROR(__xludf.DUMMYFUNCTION("""COMPUTED_VALUE"""),0)</f>
        <v>0</v>
      </c>
      <c r="I258" s="5">
        <f ca="1">IFERROR(__xludf.DUMMYFUNCTION("""COMPUTED_VALUE"""),0)</f>
        <v>0</v>
      </c>
      <c r="J258" s="5">
        <f ca="1">IFERROR(__xludf.DUMMYFUNCTION("""COMPUTED_VALUE"""),0)</f>
        <v>0</v>
      </c>
      <c r="K258" s="5">
        <f ca="1">IFERROR(__xludf.DUMMYFUNCTION("""COMPUTED_VALUE"""),2)</f>
        <v>2</v>
      </c>
      <c r="L258" s="5">
        <f ca="1">IFERROR(__xludf.DUMMYFUNCTION("""COMPUTED_VALUE"""),0)</f>
        <v>0</v>
      </c>
      <c r="M258">
        <f ca="1">IFERROR(__xludf.DUMMYFUNCTION("""COMPUTED_VALUE"""),5)</f>
        <v>5</v>
      </c>
      <c r="N258" s="8"/>
    </row>
    <row r="259" spans="1:14" ht="12.45" hidden="1">
      <c r="A259" t="str">
        <f ca="1">IFERROR(__xludf.DUMMYFUNCTION("""COMPUTED_VALUE"""),"V-3-583")</f>
        <v>V-3-583</v>
      </c>
      <c r="B259" t="str">
        <f ca="1">IFERROR(__xludf.DUMMYFUNCTION("""COMPUTED_VALUE"""),"Широков")</f>
        <v>Широков</v>
      </c>
      <c r="C259" t="str">
        <f ca="1">IFERROR(__xludf.DUMMYFUNCTION("""COMPUTED_VALUE"""),"Василий")</f>
        <v>Василий</v>
      </c>
      <c r="D259" t="str">
        <f ca="1">IFERROR(__xludf.DUMMYFUNCTION("""COMPUTED_VALUE"""),"Школа 340")</f>
        <v>Школа 340</v>
      </c>
      <c r="E259" s="5">
        <f ca="1">IFERROR(__xludf.DUMMYFUNCTION("""COMPUTED_VALUE"""),1)</f>
        <v>1</v>
      </c>
      <c r="F259" s="5">
        <f ca="1">IFERROR(__xludf.DUMMYFUNCTION("""COMPUTED_VALUE"""),1)</f>
        <v>1</v>
      </c>
      <c r="G259" s="5">
        <f ca="1">IFERROR(__xludf.DUMMYFUNCTION("""COMPUTED_VALUE"""),3)</f>
        <v>3</v>
      </c>
      <c r="H259" s="5">
        <f ca="1">IFERROR(__xludf.DUMMYFUNCTION("""COMPUTED_VALUE"""),0)</f>
        <v>0</v>
      </c>
      <c r="I259" s="5">
        <f ca="1">IFERROR(__xludf.DUMMYFUNCTION("""COMPUTED_VALUE"""),0)</f>
        <v>0</v>
      </c>
      <c r="J259" s="5">
        <f ca="1">IFERROR(__xludf.DUMMYFUNCTION("""COMPUTED_VALUE"""),0)</f>
        <v>0</v>
      </c>
      <c r="K259" s="5">
        <f ca="1">IFERROR(__xludf.DUMMYFUNCTION("""COMPUTED_VALUE"""),0)</f>
        <v>0</v>
      </c>
      <c r="L259" s="5">
        <f ca="1">IFERROR(__xludf.DUMMYFUNCTION("""COMPUTED_VALUE"""),0)</f>
        <v>0</v>
      </c>
      <c r="M259">
        <f ca="1">IFERROR(__xludf.DUMMYFUNCTION("""COMPUTED_VALUE"""),5)</f>
        <v>5</v>
      </c>
      <c r="N259" s="8"/>
    </row>
    <row r="260" spans="1:14" ht="12.45" hidden="1">
      <c r="A260" t="str">
        <f ca="1">IFERROR(__xludf.DUMMYFUNCTION("""COMPUTED_VALUE"""),"V-3-516")</f>
        <v>V-3-516</v>
      </c>
      <c r="B260" t="str">
        <f ca="1">IFERROR(__xludf.DUMMYFUNCTION("""COMPUTED_VALUE"""),"Тимофеев")</f>
        <v>Тимофеев</v>
      </c>
      <c r="C260" t="str">
        <f ca="1">IFERROR(__xludf.DUMMYFUNCTION("""COMPUTED_VALUE"""),"Всеволод")</f>
        <v>Всеволод</v>
      </c>
      <c r="D260" t="str">
        <f ca="1">IFERROR(__xludf.DUMMYFUNCTION("""COMPUTED_VALUE"""),"Лицей 126")</f>
        <v>Лицей 126</v>
      </c>
      <c r="E260" s="5">
        <f ca="1">IFERROR(__xludf.DUMMYFUNCTION("""COMPUTED_VALUE"""),2)</f>
        <v>2</v>
      </c>
      <c r="F260" s="5">
        <f ca="1">IFERROR(__xludf.DUMMYFUNCTION("""COMPUTED_VALUE"""),1)</f>
        <v>1</v>
      </c>
      <c r="G260" s="5">
        <f ca="1">IFERROR(__xludf.DUMMYFUNCTION("""COMPUTED_VALUE"""),1)</f>
        <v>1</v>
      </c>
      <c r="H260" s="5">
        <f ca="1">IFERROR(__xludf.DUMMYFUNCTION("""COMPUTED_VALUE"""),0)</f>
        <v>0</v>
      </c>
      <c r="I260" s="5">
        <f ca="1">IFERROR(__xludf.DUMMYFUNCTION("""COMPUTED_VALUE"""),0)</f>
        <v>0</v>
      </c>
      <c r="J260" s="5">
        <f ca="1">IFERROR(__xludf.DUMMYFUNCTION("""COMPUTED_VALUE"""),0)</f>
        <v>0</v>
      </c>
      <c r="K260" s="5">
        <f ca="1">IFERROR(__xludf.DUMMYFUNCTION("""COMPUTED_VALUE"""),1)</f>
        <v>1</v>
      </c>
      <c r="L260" s="5">
        <f ca="1">IFERROR(__xludf.DUMMYFUNCTION("""COMPUTED_VALUE"""),0)</f>
        <v>0</v>
      </c>
      <c r="M260">
        <f ca="1">IFERROR(__xludf.DUMMYFUNCTION("""COMPUTED_VALUE"""),5)</f>
        <v>5</v>
      </c>
      <c r="N260" s="8"/>
    </row>
    <row r="261" spans="1:14" ht="12.45" hidden="1">
      <c r="A261" t="str">
        <f ca="1">IFERROR(__xludf.DUMMYFUNCTION("""COMPUTED_VALUE"""),"III-3-099")</f>
        <v>III-3-099</v>
      </c>
      <c r="B261" t="str">
        <f ca="1">IFERROR(__xludf.DUMMYFUNCTION("""COMPUTED_VALUE"""),"Гваджава")</f>
        <v>Гваджава</v>
      </c>
      <c r="C261" t="str">
        <f ca="1">IFERROR(__xludf.DUMMYFUNCTION("""COMPUTED_VALUE"""),"Максим")</f>
        <v>Максим</v>
      </c>
      <c r="D261" t="str">
        <f ca="1">IFERROR(__xludf.DUMMYFUNCTION("""COMPUTED_VALUE"""),"Гимназия 631")</f>
        <v>Гимназия 631</v>
      </c>
      <c r="E261" s="5">
        <f ca="1">IFERROR(__xludf.DUMMYFUNCTION("""COMPUTED_VALUE"""),0)</f>
        <v>0</v>
      </c>
      <c r="F261" s="5">
        <f ca="1">IFERROR(__xludf.DUMMYFUNCTION("""COMPUTED_VALUE"""),1)</f>
        <v>1</v>
      </c>
      <c r="G261" s="5">
        <f ca="1">IFERROR(__xludf.DUMMYFUNCTION("""COMPUTED_VALUE"""),3)</f>
        <v>3</v>
      </c>
      <c r="H261" s="5">
        <f ca="1">IFERROR(__xludf.DUMMYFUNCTION("""COMPUTED_VALUE"""),0)</f>
        <v>0</v>
      </c>
      <c r="I261" s="5">
        <f ca="1">IFERROR(__xludf.DUMMYFUNCTION("""COMPUTED_VALUE"""),0)</f>
        <v>0</v>
      </c>
      <c r="J261" s="5">
        <f ca="1">IFERROR(__xludf.DUMMYFUNCTION("""COMPUTED_VALUE"""),0)</f>
        <v>0</v>
      </c>
      <c r="K261" s="5">
        <f ca="1">IFERROR(__xludf.DUMMYFUNCTION("""COMPUTED_VALUE"""),1)</f>
        <v>1</v>
      </c>
      <c r="L261" s="5">
        <f ca="1">IFERROR(__xludf.DUMMYFUNCTION("""COMPUTED_VALUE"""),0)</f>
        <v>0</v>
      </c>
      <c r="M261">
        <f ca="1">IFERROR(__xludf.DUMMYFUNCTION("""COMPUTED_VALUE"""),5)</f>
        <v>5</v>
      </c>
      <c r="N261" s="8"/>
    </row>
    <row r="262" spans="1:14" ht="12.45" hidden="1">
      <c r="A262" t="str">
        <f ca="1">IFERROR(__xludf.DUMMYFUNCTION("""COMPUTED_VALUE"""),"V-3-462")</f>
        <v>V-3-462</v>
      </c>
      <c r="B262" t="str">
        <f ca="1">IFERROR(__xludf.DUMMYFUNCTION("""COMPUTED_VALUE"""),"Сапунов-Домбровский")</f>
        <v>Сапунов-Домбровский</v>
      </c>
      <c r="C262" t="str">
        <f ca="1">IFERROR(__xludf.DUMMYFUNCTION("""COMPUTED_VALUE"""),"Данис")</f>
        <v>Данис</v>
      </c>
      <c r="D262" t="str">
        <f ca="1">IFERROR(__xludf.DUMMYFUNCTION("""COMPUTED_VALUE"""),"Гимназия 171")</f>
        <v>Гимназия 171</v>
      </c>
      <c r="E262" s="5">
        <f ca="1">IFERROR(__xludf.DUMMYFUNCTION("""COMPUTED_VALUE"""),0)</f>
        <v>0</v>
      </c>
      <c r="F262" s="5">
        <f ca="1">IFERROR(__xludf.DUMMYFUNCTION("""COMPUTED_VALUE"""),1)</f>
        <v>1</v>
      </c>
      <c r="G262" s="5">
        <f ca="1">IFERROR(__xludf.DUMMYFUNCTION("""COMPUTED_VALUE"""),1)</f>
        <v>1</v>
      </c>
      <c r="H262" s="5">
        <f ca="1">IFERROR(__xludf.DUMMYFUNCTION("""COMPUTED_VALUE"""),0)</f>
        <v>0</v>
      </c>
      <c r="I262" s="5">
        <f ca="1">IFERROR(__xludf.DUMMYFUNCTION("""COMPUTED_VALUE"""),0)</f>
        <v>0</v>
      </c>
      <c r="J262" s="5">
        <f ca="1">IFERROR(__xludf.DUMMYFUNCTION("""COMPUTED_VALUE"""),0)</f>
        <v>0</v>
      </c>
      <c r="K262" s="5">
        <f ca="1">IFERROR(__xludf.DUMMYFUNCTION("""COMPUTED_VALUE"""),2)</f>
        <v>2</v>
      </c>
      <c r="L262" s="5">
        <f ca="1">IFERROR(__xludf.DUMMYFUNCTION("""COMPUTED_VALUE"""),1)</f>
        <v>1</v>
      </c>
      <c r="M262">
        <f ca="1">IFERROR(__xludf.DUMMYFUNCTION("""COMPUTED_VALUE"""),5)</f>
        <v>5</v>
      </c>
      <c r="N262" s="8"/>
    </row>
    <row r="263" spans="1:14" ht="12.45" hidden="1">
      <c r="A263" t="str">
        <f ca="1">IFERROR(__xludf.DUMMYFUNCTION("""COMPUTED_VALUE"""),"III-3-156")</f>
        <v>III-3-156</v>
      </c>
      <c r="B263" t="str">
        <f ca="1">IFERROR(__xludf.DUMMYFUNCTION("""COMPUTED_VALUE"""),"Зайцев")</f>
        <v>Зайцев</v>
      </c>
      <c r="C263" t="str">
        <f ca="1">IFERROR(__xludf.DUMMYFUNCTION("""COMPUTED_VALUE"""),"Михаил")</f>
        <v>Михаил</v>
      </c>
      <c r="D263" t="str">
        <f ca="1">IFERROR(__xludf.DUMMYFUNCTION("""COMPUTED_VALUE"""),"Школа 292")</f>
        <v>Школа 292</v>
      </c>
      <c r="E263" s="5">
        <f ca="1">IFERROR(__xludf.DUMMYFUNCTION("""COMPUTED_VALUE"""),1)</f>
        <v>1</v>
      </c>
      <c r="F263" s="5">
        <f ca="1">IFERROR(__xludf.DUMMYFUNCTION("""COMPUTED_VALUE"""),1)</f>
        <v>1</v>
      </c>
      <c r="G263" s="5">
        <f ca="1">IFERROR(__xludf.DUMMYFUNCTION("""COMPUTED_VALUE"""),1)</f>
        <v>1</v>
      </c>
      <c r="H263" s="5">
        <f ca="1">IFERROR(__xludf.DUMMYFUNCTION("""COMPUTED_VALUE"""),0)</f>
        <v>0</v>
      </c>
      <c r="I263" s="5">
        <f ca="1">IFERROR(__xludf.DUMMYFUNCTION("""COMPUTED_VALUE"""),0)</f>
        <v>0</v>
      </c>
      <c r="J263" s="5">
        <f ca="1">IFERROR(__xludf.DUMMYFUNCTION("""COMPUTED_VALUE"""),0)</f>
        <v>0</v>
      </c>
      <c r="K263" s="5">
        <f ca="1">IFERROR(__xludf.DUMMYFUNCTION("""COMPUTED_VALUE"""),2)</f>
        <v>2</v>
      </c>
      <c r="L263" s="5">
        <f ca="1">IFERROR(__xludf.DUMMYFUNCTION("""COMPUTED_VALUE"""),0)</f>
        <v>0</v>
      </c>
      <c r="M263">
        <f ca="1">IFERROR(__xludf.DUMMYFUNCTION("""COMPUTED_VALUE"""),5)</f>
        <v>5</v>
      </c>
      <c r="N263" s="8"/>
    </row>
    <row r="264" spans="1:14" ht="12.45" hidden="1">
      <c r="A264" t="str">
        <f ca="1">IFERROR(__xludf.DUMMYFUNCTION("""COMPUTED_VALUE"""),"V-3-321")</f>
        <v>V-3-321</v>
      </c>
      <c r="B264" t="str">
        <f ca="1">IFERROR(__xludf.DUMMYFUNCTION("""COMPUTED_VALUE"""),"Матвеев")</f>
        <v>Матвеев</v>
      </c>
      <c r="C264" t="str">
        <f ca="1">IFERROR(__xludf.DUMMYFUNCTION("""COMPUTED_VALUE"""),"Павел")</f>
        <v>Павел</v>
      </c>
      <c r="D264" t="str">
        <f ca="1">IFERROR(__xludf.DUMMYFUNCTION("""COMPUTED_VALUE"""),"Лицей 344")</f>
        <v>Лицей 344</v>
      </c>
      <c r="E264" s="5">
        <f ca="1">IFERROR(__xludf.DUMMYFUNCTION("""COMPUTED_VALUE"""),2)</f>
        <v>2</v>
      </c>
      <c r="F264" s="5">
        <f ca="1">IFERROR(__xludf.DUMMYFUNCTION("""COMPUTED_VALUE"""),2)</f>
        <v>2</v>
      </c>
      <c r="G264" s="5">
        <f ca="1">IFERROR(__xludf.DUMMYFUNCTION("""COMPUTED_VALUE"""),0)</f>
        <v>0</v>
      </c>
      <c r="H264" s="5">
        <f ca="1">IFERROR(__xludf.DUMMYFUNCTION("""COMPUTED_VALUE"""),0)</f>
        <v>0</v>
      </c>
      <c r="I264" s="5">
        <f ca="1">IFERROR(__xludf.DUMMYFUNCTION("""COMPUTED_VALUE"""),0)</f>
        <v>0</v>
      </c>
      <c r="J264" s="5">
        <f ca="1">IFERROR(__xludf.DUMMYFUNCTION("""COMPUTED_VALUE"""),0)</f>
        <v>0</v>
      </c>
      <c r="K264" s="5">
        <f ca="1">IFERROR(__xludf.DUMMYFUNCTION("""COMPUTED_VALUE"""),1)</f>
        <v>1</v>
      </c>
      <c r="L264" s="5">
        <f ca="1">IFERROR(__xludf.DUMMYFUNCTION("""COMPUTED_VALUE"""),0)</f>
        <v>0</v>
      </c>
      <c r="M264">
        <f ca="1">IFERROR(__xludf.DUMMYFUNCTION("""COMPUTED_VALUE"""),5)</f>
        <v>5</v>
      </c>
      <c r="N264" s="8"/>
    </row>
    <row r="265" spans="1:14" ht="12.45" hidden="1">
      <c r="A265" t="str">
        <f ca="1">IFERROR(__xludf.DUMMYFUNCTION("""COMPUTED_VALUE"""),"V-3-505")</f>
        <v>V-3-505</v>
      </c>
      <c r="B265" t="str">
        <f ca="1">IFERROR(__xludf.DUMMYFUNCTION("""COMPUTED_VALUE"""),"Сучилин")</f>
        <v>Сучилин</v>
      </c>
      <c r="C265" t="str">
        <f ca="1">IFERROR(__xludf.DUMMYFUNCTION("""COMPUTED_VALUE"""),"Максим")</f>
        <v>Максим</v>
      </c>
      <c r="D265" t="str">
        <f ca="1">IFERROR(__xludf.DUMMYFUNCTION("""COMPUTED_VALUE"""),"Школа кружок Детский центр Пингвины")</f>
        <v>Школа кружок Детский центр Пингвины</v>
      </c>
      <c r="E265" s="5">
        <f ca="1">IFERROR(__xludf.DUMMYFUNCTION("""COMPUTED_VALUE"""),1)</f>
        <v>1</v>
      </c>
      <c r="F265" s="5">
        <f ca="1">IFERROR(__xludf.DUMMYFUNCTION("""COMPUTED_VALUE"""),2)</f>
        <v>2</v>
      </c>
      <c r="G265" s="5">
        <f ca="1">IFERROR(__xludf.DUMMYFUNCTION("""COMPUTED_VALUE"""),1)</f>
        <v>1</v>
      </c>
      <c r="H265" s="5">
        <f ca="1">IFERROR(__xludf.DUMMYFUNCTION("""COMPUTED_VALUE"""),0)</f>
        <v>0</v>
      </c>
      <c r="I265" s="5">
        <f ca="1">IFERROR(__xludf.DUMMYFUNCTION("""COMPUTED_VALUE"""),0)</f>
        <v>0</v>
      </c>
      <c r="J265" s="5">
        <f ca="1">IFERROR(__xludf.DUMMYFUNCTION("""COMPUTED_VALUE"""),0)</f>
        <v>0</v>
      </c>
      <c r="K265" s="5">
        <f ca="1">IFERROR(__xludf.DUMMYFUNCTION("""COMPUTED_VALUE"""),1)</f>
        <v>1</v>
      </c>
      <c r="L265" s="5">
        <f ca="1">IFERROR(__xludf.DUMMYFUNCTION("""COMPUTED_VALUE"""),0)</f>
        <v>0</v>
      </c>
      <c r="M265">
        <f ca="1">IFERROR(__xludf.DUMMYFUNCTION("""COMPUTED_VALUE"""),5)</f>
        <v>5</v>
      </c>
      <c r="N265" s="8"/>
    </row>
    <row r="266" spans="1:14" ht="12.45" hidden="1">
      <c r="A266" t="str">
        <f ca="1">IFERROR(__xludf.DUMMYFUNCTION("""COMPUTED_VALUE"""),"V-3-491")</f>
        <v>V-3-491</v>
      </c>
      <c r="B266" t="str">
        <f ca="1">IFERROR(__xludf.DUMMYFUNCTION("""COMPUTED_VALUE"""),"Смирнова")</f>
        <v>Смирнова</v>
      </c>
      <c r="C266" t="str">
        <f ca="1">IFERROR(__xludf.DUMMYFUNCTION("""COMPUTED_VALUE"""),"Елизавета")</f>
        <v>Елизавета</v>
      </c>
      <c r="D266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266" s="5">
        <f ca="1">IFERROR(__xludf.DUMMYFUNCTION("""COMPUTED_VALUE"""),1)</f>
        <v>1</v>
      </c>
      <c r="F266" s="5">
        <f ca="1">IFERROR(__xludf.DUMMYFUNCTION("""COMPUTED_VALUE"""),1)</f>
        <v>1</v>
      </c>
      <c r="G266" s="5">
        <f ca="1">IFERROR(__xludf.DUMMYFUNCTION("""COMPUTED_VALUE"""),1)</f>
        <v>1</v>
      </c>
      <c r="H266" s="5">
        <f ca="1">IFERROR(__xludf.DUMMYFUNCTION("""COMPUTED_VALUE"""),0)</f>
        <v>0</v>
      </c>
      <c r="I266" s="5">
        <f ca="1">IFERROR(__xludf.DUMMYFUNCTION("""COMPUTED_VALUE"""),0)</f>
        <v>0</v>
      </c>
      <c r="J266" s="5">
        <f ca="1">IFERROR(__xludf.DUMMYFUNCTION("""COMPUTED_VALUE"""),0)</f>
        <v>0</v>
      </c>
      <c r="K266" s="5">
        <f ca="1">IFERROR(__xludf.DUMMYFUNCTION("""COMPUTED_VALUE"""),2)</f>
        <v>2</v>
      </c>
      <c r="L266" s="5">
        <f ca="1">IFERROR(__xludf.DUMMYFUNCTION("""COMPUTED_VALUE"""),0)</f>
        <v>0</v>
      </c>
      <c r="M266">
        <f ca="1">IFERROR(__xludf.DUMMYFUNCTION("""COMPUTED_VALUE"""),5)</f>
        <v>5</v>
      </c>
      <c r="N266" s="8"/>
    </row>
    <row r="267" spans="1:14" ht="12.45" hidden="1">
      <c r="A267" t="str">
        <f ca="1">IFERROR(__xludf.DUMMYFUNCTION("""COMPUTED_VALUE"""),"V-3-419")</f>
        <v>V-3-419</v>
      </c>
      <c r="B267" t="str">
        <f ca="1">IFERROR(__xludf.DUMMYFUNCTION("""COMPUTED_VALUE"""),"Полякова")</f>
        <v>Полякова</v>
      </c>
      <c r="C267" t="str">
        <f ca="1">IFERROR(__xludf.DUMMYFUNCTION("""COMPUTED_VALUE"""),"Вероника")</f>
        <v>Вероника</v>
      </c>
      <c r="D267" t="str">
        <f ca="1">IFERROR(__xludf.DUMMYFUNCTION("""COMPUTED_VALUE"""),"Лицей 101")</f>
        <v>Лицей 101</v>
      </c>
      <c r="E267" s="5">
        <f ca="1">IFERROR(__xludf.DUMMYFUNCTION("""COMPUTED_VALUE"""),0)</f>
        <v>0</v>
      </c>
      <c r="F267" s="5">
        <f ca="1">IFERROR(__xludf.DUMMYFUNCTION("""COMPUTED_VALUE"""),0)</f>
        <v>0</v>
      </c>
      <c r="G267" s="5">
        <f ca="1">IFERROR(__xludf.DUMMYFUNCTION("""COMPUTED_VALUE"""),1)</f>
        <v>1</v>
      </c>
      <c r="H267" s="5">
        <f ca="1">IFERROR(__xludf.DUMMYFUNCTION("""COMPUTED_VALUE"""),0)</f>
        <v>0</v>
      </c>
      <c r="I267" s="5">
        <f ca="1">IFERROR(__xludf.DUMMYFUNCTION("""COMPUTED_VALUE"""),3)</f>
        <v>3</v>
      </c>
      <c r="J267" s="5">
        <f ca="1">IFERROR(__xludf.DUMMYFUNCTION("""COMPUTED_VALUE"""),0)</f>
        <v>0</v>
      </c>
      <c r="K267" s="5">
        <f ca="1">IFERROR(__xludf.DUMMYFUNCTION("""COMPUTED_VALUE"""),0)</f>
        <v>0</v>
      </c>
      <c r="L267" s="5">
        <f ca="1">IFERROR(__xludf.DUMMYFUNCTION("""COMPUTED_VALUE"""),0)</f>
        <v>0</v>
      </c>
      <c r="M267">
        <f ca="1">IFERROR(__xludf.DUMMYFUNCTION("""COMPUTED_VALUE"""),4)</f>
        <v>4</v>
      </c>
      <c r="N267" s="8"/>
    </row>
    <row r="268" spans="1:14" ht="12.45" hidden="1">
      <c r="A268" t="str">
        <f ca="1">IFERROR(__xludf.DUMMYFUNCTION("""COMPUTED_VALUE"""),"III-3-035")</f>
        <v>III-3-035</v>
      </c>
      <c r="B268" t="str">
        <f ca="1">IFERROR(__xludf.DUMMYFUNCTION("""COMPUTED_VALUE"""),"Басханов")</f>
        <v>Басханов</v>
      </c>
      <c r="C268" t="str">
        <f ca="1">IFERROR(__xludf.DUMMYFUNCTION("""COMPUTED_VALUE"""),"Данил")</f>
        <v>Данил</v>
      </c>
      <c r="D268" t="str">
        <f ca="1">IFERROR(__xludf.DUMMYFUNCTION("""COMPUTED_VALUE"""),"Школа 333")</f>
        <v>Школа 333</v>
      </c>
      <c r="E268" s="5">
        <f ca="1">IFERROR(__xludf.DUMMYFUNCTION("""COMPUTED_VALUE"""),0)</f>
        <v>0</v>
      </c>
      <c r="F268" s="5">
        <f ca="1">IFERROR(__xludf.DUMMYFUNCTION("""COMPUTED_VALUE"""),2)</f>
        <v>2</v>
      </c>
      <c r="G268" s="5">
        <f ca="1">IFERROR(__xludf.DUMMYFUNCTION("""COMPUTED_VALUE"""),0)</f>
        <v>0</v>
      </c>
      <c r="H268" s="5">
        <f ca="1">IFERROR(__xludf.DUMMYFUNCTION("""COMPUTED_VALUE"""),0)</f>
        <v>0</v>
      </c>
      <c r="I268" s="5">
        <f ca="1">IFERROR(__xludf.DUMMYFUNCTION("""COMPUTED_VALUE"""),2)</f>
        <v>2</v>
      </c>
      <c r="J268" s="5">
        <f ca="1">IFERROR(__xludf.DUMMYFUNCTION("""COMPUTED_VALUE"""),0)</f>
        <v>0</v>
      </c>
      <c r="K268" s="5">
        <f ca="1">IFERROR(__xludf.DUMMYFUNCTION("""COMPUTED_VALUE"""),0)</f>
        <v>0</v>
      </c>
      <c r="L268" s="5">
        <f ca="1">IFERROR(__xludf.DUMMYFUNCTION("""COMPUTED_VALUE"""),0)</f>
        <v>0</v>
      </c>
      <c r="M268">
        <f ca="1">IFERROR(__xludf.DUMMYFUNCTION("""COMPUTED_VALUE"""),4)</f>
        <v>4</v>
      </c>
      <c r="N268" s="8"/>
    </row>
    <row r="269" spans="1:14" ht="12.45" hidden="1">
      <c r="A269" t="str">
        <f ca="1">IFERROR(__xludf.DUMMYFUNCTION("""COMPUTED_VALUE"""),"V-3-598")</f>
        <v>V-3-598</v>
      </c>
      <c r="B269" t="str">
        <f ca="1">IFERROR(__xludf.DUMMYFUNCTION("""COMPUTED_VALUE"""),"Яремчук")</f>
        <v>Яремчук</v>
      </c>
      <c r="C269" t="str">
        <f ca="1">IFERROR(__xludf.DUMMYFUNCTION("""COMPUTED_VALUE"""),"Феодор")</f>
        <v>Феодор</v>
      </c>
      <c r="D269" t="str">
        <f ca="1">IFERROR(__xludf.DUMMYFUNCTION("""COMPUTED_VALUE"""),"Школа 306")</f>
        <v>Школа 306</v>
      </c>
      <c r="E269" s="5">
        <f ca="1">IFERROR(__xludf.DUMMYFUNCTION("""COMPUTED_VALUE"""),0)</f>
        <v>0</v>
      </c>
      <c r="F269" s="5">
        <f ca="1">IFERROR(__xludf.DUMMYFUNCTION("""COMPUTED_VALUE"""),0)</f>
        <v>0</v>
      </c>
      <c r="G269" s="5">
        <f ca="1">IFERROR(__xludf.DUMMYFUNCTION("""COMPUTED_VALUE"""),0)</f>
        <v>0</v>
      </c>
      <c r="H269" s="5">
        <f ca="1">IFERROR(__xludf.DUMMYFUNCTION("""COMPUTED_VALUE"""),0)</f>
        <v>0</v>
      </c>
      <c r="I269" s="5">
        <f ca="1">IFERROR(__xludf.DUMMYFUNCTION("""COMPUTED_VALUE"""),2)</f>
        <v>2</v>
      </c>
      <c r="J269" s="5">
        <f ca="1">IFERROR(__xludf.DUMMYFUNCTION("""COMPUTED_VALUE"""),0)</f>
        <v>0</v>
      </c>
      <c r="K269" s="5">
        <f ca="1">IFERROR(__xludf.DUMMYFUNCTION("""COMPUTED_VALUE"""),1)</f>
        <v>1</v>
      </c>
      <c r="L269" s="5">
        <f ca="1">IFERROR(__xludf.DUMMYFUNCTION("""COMPUTED_VALUE"""),1)</f>
        <v>1</v>
      </c>
      <c r="M269">
        <f ca="1">IFERROR(__xludf.DUMMYFUNCTION("""COMPUTED_VALUE"""),4)</f>
        <v>4</v>
      </c>
      <c r="N269" s="8"/>
    </row>
    <row r="270" spans="1:14" ht="12.45" hidden="1">
      <c r="A270" t="str">
        <f ca="1">IFERROR(__xludf.DUMMYFUNCTION("""COMPUTED_VALUE"""),"V-3-328")</f>
        <v>V-3-328</v>
      </c>
      <c r="B270" t="str">
        <f ca="1">IFERROR(__xludf.DUMMYFUNCTION("""COMPUTED_VALUE"""),"Меркулова")</f>
        <v>Меркулова</v>
      </c>
      <c r="C270" t="str">
        <f ca="1">IFERROR(__xludf.DUMMYFUNCTION("""COMPUTED_VALUE"""),"Агния")</f>
        <v>Агния</v>
      </c>
      <c r="D270" t="str">
        <f ca="1">IFERROR(__xludf.DUMMYFUNCTION("""COMPUTED_VALUE"""),"Гимназия 642")</f>
        <v>Гимназия 642</v>
      </c>
      <c r="E270" s="5">
        <f ca="1">IFERROR(__xludf.DUMMYFUNCTION("""COMPUTED_VALUE"""),1)</f>
        <v>1</v>
      </c>
      <c r="F270" s="5">
        <f ca="1">IFERROR(__xludf.DUMMYFUNCTION("""COMPUTED_VALUE"""),0)</f>
        <v>0</v>
      </c>
      <c r="G270" s="5">
        <f ca="1">IFERROR(__xludf.DUMMYFUNCTION("""COMPUTED_VALUE"""),0)</f>
        <v>0</v>
      </c>
      <c r="H270" s="5">
        <f ca="1">IFERROR(__xludf.DUMMYFUNCTION("""COMPUTED_VALUE"""),0)</f>
        <v>0</v>
      </c>
      <c r="I270" s="5">
        <f ca="1">IFERROR(__xludf.DUMMYFUNCTION("""COMPUTED_VALUE"""),2)</f>
        <v>2</v>
      </c>
      <c r="J270" s="5">
        <f ca="1">IFERROR(__xludf.DUMMYFUNCTION("""COMPUTED_VALUE"""),0)</f>
        <v>0</v>
      </c>
      <c r="K270" s="5">
        <f ca="1">IFERROR(__xludf.DUMMYFUNCTION("""COMPUTED_VALUE"""),1)</f>
        <v>1</v>
      </c>
      <c r="L270" s="5">
        <f ca="1">IFERROR(__xludf.DUMMYFUNCTION("""COMPUTED_VALUE"""),0)</f>
        <v>0</v>
      </c>
      <c r="M270">
        <f ca="1">IFERROR(__xludf.DUMMYFUNCTION("""COMPUTED_VALUE"""),4)</f>
        <v>4</v>
      </c>
      <c r="N270" s="8"/>
    </row>
    <row r="271" spans="1:14" ht="12.45" hidden="1">
      <c r="A271" t="str">
        <f ca="1">IFERROR(__xludf.DUMMYFUNCTION("""COMPUTED_VALUE"""),"III-3-158")</f>
        <v>III-3-158</v>
      </c>
      <c r="B271" t="str">
        <f ca="1">IFERROR(__xludf.DUMMYFUNCTION("""COMPUTED_VALUE"""),"Зарецкая")</f>
        <v>Зарецкая</v>
      </c>
      <c r="C271" t="str">
        <f ca="1">IFERROR(__xludf.DUMMYFUNCTION("""COMPUTED_VALUE"""),"Виктория")</f>
        <v>Виктория</v>
      </c>
      <c r="D271" t="str">
        <f ca="1">IFERROR(__xludf.DUMMYFUNCTION("""COMPUTED_VALUE"""),"Школа 667")</f>
        <v>Школа 667</v>
      </c>
      <c r="E271" s="5">
        <f ca="1">IFERROR(__xludf.DUMMYFUNCTION("""COMPUTED_VALUE"""),0)</f>
        <v>0</v>
      </c>
      <c r="F271" s="5">
        <f ca="1">IFERROR(__xludf.DUMMYFUNCTION("""COMPUTED_VALUE"""),1)</f>
        <v>1</v>
      </c>
      <c r="G271" s="5">
        <f ca="1">IFERROR(__xludf.DUMMYFUNCTION("""COMPUTED_VALUE"""),1)</f>
        <v>1</v>
      </c>
      <c r="H271" s="5">
        <f ca="1">IFERROR(__xludf.DUMMYFUNCTION("""COMPUTED_VALUE"""),0)</f>
        <v>0</v>
      </c>
      <c r="I271" s="5">
        <f ca="1">IFERROR(__xludf.DUMMYFUNCTION("""COMPUTED_VALUE"""),2)</f>
        <v>2</v>
      </c>
      <c r="J271" s="5">
        <f ca="1">IFERROR(__xludf.DUMMYFUNCTION("""COMPUTED_VALUE"""),0)</f>
        <v>0</v>
      </c>
      <c r="K271" s="5">
        <f ca="1">IFERROR(__xludf.DUMMYFUNCTION("""COMPUTED_VALUE"""),0)</f>
        <v>0</v>
      </c>
      <c r="L271" s="5">
        <f ca="1">IFERROR(__xludf.DUMMYFUNCTION("""COMPUTED_VALUE"""),0)</f>
        <v>0</v>
      </c>
      <c r="M271">
        <f ca="1">IFERROR(__xludf.DUMMYFUNCTION("""COMPUTED_VALUE"""),4)</f>
        <v>4</v>
      </c>
      <c r="N271" s="8"/>
    </row>
    <row r="272" spans="1:14" ht="12.45" hidden="1">
      <c r="A272" t="str">
        <f ca="1">IFERROR(__xludf.DUMMYFUNCTION("""COMPUTED_VALUE"""),"V-3-308")</f>
        <v>V-3-308</v>
      </c>
      <c r="B272" t="str">
        <f ca="1">IFERROR(__xludf.DUMMYFUNCTION("""COMPUTED_VALUE"""),"Макаров")</f>
        <v>Макаров</v>
      </c>
      <c r="C272" t="str">
        <f ca="1">IFERROR(__xludf.DUMMYFUNCTION("""COMPUTED_VALUE"""),"Александр")</f>
        <v>Александр</v>
      </c>
      <c r="D272" t="str">
        <f ca="1">IFERROR(__xludf.DUMMYFUNCTION("""COMPUTED_VALUE"""),"Школа 448")</f>
        <v>Школа 448</v>
      </c>
      <c r="E272" s="5">
        <f ca="1">IFERROR(__xludf.DUMMYFUNCTION("""COMPUTED_VALUE"""),1)</f>
        <v>1</v>
      </c>
      <c r="F272" s="5">
        <f ca="1">IFERROR(__xludf.DUMMYFUNCTION("""COMPUTED_VALUE"""),0)</f>
        <v>0</v>
      </c>
      <c r="G272" s="5">
        <f ca="1">IFERROR(__xludf.DUMMYFUNCTION("""COMPUTED_VALUE"""),1)</f>
        <v>1</v>
      </c>
      <c r="H272" s="5">
        <f ca="1">IFERROR(__xludf.DUMMYFUNCTION("""COMPUTED_VALUE"""),0)</f>
        <v>0</v>
      </c>
      <c r="I272" s="5">
        <f ca="1">IFERROR(__xludf.DUMMYFUNCTION("""COMPUTED_VALUE"""),2)</f>
        <v>2</v>
      </c>
      <c r="J272" s="5">
        <f ca="1">IFERROR(__xludf.DUMMYFUNCTION("""COMPUTED_VALUE"""),0)</f>
        <v>0</v>
      </c>
      <c r="K272" s="5">
        <f ca="1">IFERROR(__xludf.DUMMYFUNCTION("""COMPUTED_VALUE"""),0)</f>
        <v>0</v>
      </c>
      <c r="L272" s="5">
        <f ca="1">IFERROR(__xludf.DUMMYFUNCTION("""COMPUTED_VALUE"""),0)</f>
        <v>0</v>
      </c>
      <c r="M272">
        <f ca="1">IFERROR(__xludf.DUMMYFUNCTION("""COMPUTED_VALUE"""),4)</f>
        <v>4</v>
      </c>
      <c r="N272" s="8"/>
    </row>
    <row r="273" spans="1:14" ht="12.45" hidden="1">
      <c r="A273" t="str">
        <f ca="1">IFERROR(__xludf.DUMMYFUNCTION("""COMPUTED_VALUE"""),"III-3-057")</f>
        <v>III-3-057</v>
      </c>
      <c r="B273" t="str">
        <f ca="1">IFERROR(__xludf.DUMMYFUNCTION("""COMPUTED_VALUE"""),"Бородина")</f>
        <v>Бородина</v>
      </c>
      <c r="C273" t="str">
        <f ca="1">IFERROR(__xludf.DUMMYFUNCTION("""COMPUTED_VALUE"""),"Екатерина")</f>
        <v>Екатерина</v>
      </c>
      <c r="D273" t="str">
        <f ca="1">IFERROR(__xludf.DUMMYFUNCTION("""COMPUTED_VALUE"""),"Лицей 393")</f>
        <v>Лицей 393</v>
      </c>
      <c r="E273" s="5">
        <f ca="1">IFERROR(__xludf.DUMMYFUNCTION("""COMPUTED_VALUE"""),1)</f>
        <v>1</v>
      </c>
      <c r="F273" s="5">
        <f ca="1">IFERROR(__xludf.DUMMYFUNCTION("""COMPUTED_VALUE"""),0)</f>
        <v>0</v>
      </c>
      <c r="G273" s="5">
        <f ca="1">IFERROR(__xludf.DUMMYFUNCTION("""COMPUTED_VALUE"""),1)</f>
        <v>1</v>
      </c>
      <c r="H273" s="5">
        <f ca="1">IFERROR(__xludf.DUMMYFUNCTION("""COMPUTED_VALUE"""),0)</f>
        <v>0</v>
      </c>
      <c r="I273" s="5">
        <f ca="1">IFERROR(__xludf.DUMMYFUNCTION("""COMPUTED_VALUE"""),2)</f>
        <v>2</v>
      </c>
      <c r="J273" s="5">
        <f ca="1">IFERROR(__xludf.DUMMYFUNCTION("""COMPUTED_VALUE"""),0)</f>
        <v>0</v>
      </c>
      <c r="K273" s="5">
        <f ca="1">IFERROR(__xludf.DUMMYFUNCTION("""COMPUTED_VALUE"""),0)</f>
        <v>0</v>
      </c>
      <c r="L273" s="5">
        <f ca="1">IFERROR(__xludf.DUMMYFUNCTION("""COMPUTED_VALUE"""),0)</f>
        <v>0</v>
      </c>
      <c r="M273">
        <f ca="1">IFERROR(__xludf.DUMMYFUNCTION("""COMPUTED_VALUE"""),4)</f>
        <v>4</v>
      </c>
      <c r="N273" s="8"/>
    </row>
    <row r="274" spans="1:14" ht="12.45" hidden="1">
      <c r="A274" t="str">
        <f ca="1">IFERROR(__xludf.DUMMYFUNCTION("""COMPUTED_VALUE"""),"III-3-054")</f>
        <v>III-3-054</v>
      </c>
      <c r="B274" t="str">
        <f ca="1">IFERROR(__xludf.DUMMYFUNCTION("""COMPUTED_VALUE"""),"Бондарев")</f>
        <v>Бондарев</v>
      </c>
      <c r="C274" t="str">
        <f ca="1">IFERROR(__xludf.DUMMYFUNCTION("""COMPUTED_VALUE"""),"Глеб")</f>
        <v>Глеб</v>
      </c>
      <c r="D274" t="str">
        <f ca="1">IFERROR(__xludf.DUMMYFUNCTION("""COMPUTED_VALUE"""),"Лицей 101")</f>
        <v>Лицей 101</v>
      </c>
      <c r="E274" s="5">
        <f ca="1">IFERROR(__xludf.DUMMYFUNCTION("""COMPUTED_VALUE"""),0)</f>
        <v>0</v>
      </c>
      <c r="F274" s="5">
        <f ca="1">IFERROR(__xludf.DUMMYFUNCTION("""COMPUTED_VALUE"""),1)</f>
        <v>1</v>
      </c>
      <c r="G274" s="5">
        <f ca="1">IFERROR(__xludf.DUMMYFUNCTION("""COMPUTED_VALUE"""),0)</f>
        <v>0</v>
      </c>
      <c r="H274" s="5">
        <f ca="1">IFERROR(__xludf.DUMMYFUNCTION("""COMPUTED_VALUE"""),0)</f>
        <v>0</v>
      </c>
      <c r="I274" s="5">
        <f ca="1">IFERROR(__xludf.DUMMYFUNCTION("""COMPUTED_VALUE"""),2)</f>
        <v>2</v>
      </c>
      <c r="J274" s="5">
        <f ca="1">IFERROR(__xludf.DUMMYFUNCTION("""COMPUTED_VALUE"""),1)</f>
        <v>1</v>
      </c>
      <c r="K274" s="5">
        <f ca="1">IFERROR(__xludf.DUMMYFUNCTION("""COMPUTED_VALUE"""),0)</f>
        <v>0</v>
      </c>
      <c r="L274" s="5">
        <f ca="1">IFERROR(__xludf.DUMMYFUNCTION("""COMPUTED_VALUE"""),0)</f>
        <v>0</v>
      </c>
      <c r="M274">
        <f ca="1">IFERROR(__xludf.DUMMYFUNCTION("""COMPUTED_VALUE"""),4)</f>
        <v>4</v>
      </c>
      <c r="N274" s="8"/>
    </row>
    <row r="275" spans="1:14" ht="12.45" hidden="1">
      <c r="A275" t="str">
        <f ca="1">IFERROR(__xludf.DUMMYFUNCTION("""COMPUTED_VALUE"""),"III-3-240")</f>
        <v>III-3-240</v>
      </c>
      <c r="B275" t="str">
        <f ca="1">IFERROR(__xludf.DUMMYFUNCTION("""COMPUTED_VALUE"""),"Котелянский")</f>
        <v>Котелянский</v>
      </c>
      <c r="C275" t="str">
        <f ca="1">IFERROR(__xludf.DUMMYFUNCTION("""COMPUTED_VALUE"""),"Александр")</f>
        <v>Александр</v>
      </c>
      <c r="D275" t="str">
        <f ca="1">IFERROR(__xludf.DUMMYFUNCTION("""COMPUTED_VALUE"""),"Лицей 344")</f>
        <v>Лицей 344</v>
      </c>
      <c r="E275" s="5">
        <f ca="1">IFERROR(__xludf.DUMMYFUNCTION("""COMPUTED_VALUE"""),1)</f>
        <v>1</v>
      </c>
      <c r="F275" s="5">
        <f ca="1">IFERROR(__xludf.DUMMYFUNCTION("""COMPUTED_VALUE"""),0)</f>
        <v>0</v>
      </c>
      <c r="G275" s="5">
        <f ca="1">IFERROR(__xludf.DUMMYFUNCTION("""COMPUTED_VALUE"""),1)</f>
        <v>1</v>
      </c>
      <c r="H275" s="5">
        <f ca="1">IFERROR(__xludf.DUMMYFUNCTION("""COMPUTED_VALUE"""),0)</f>
        <v>0</v>
      </c>
      <c r="I275" s="5">
        <f ca="1">IFERROR(__xludf.DUMMYFUNCTION("""COMPUTED_VALUE"""),2)</f>
        <v>2</v>
      </c>
      <c r="J275" s="5">
        <f ca="1">IFERROR(__xludf.DUMMYFUNCTION("""COMPUTED_VALUE"""),0)</f>
        <v>0</v>
      </c>
      <c r="K275" s="5">
        <f ca="1">IFERROR(__xludf.DUMMYFUNCTION("""COMPUTED_VALUE"""),0)</f>
        <v>0</v>
      </c>
      <c r="L275" s="5">
        <f ca="1">IFERROR(__xludf.DUMMYFUNCTION("""COMPUTED_VALUE"""),0)</f>
        <v>0</v>
      </c>
      <c r="M275">
        <f ca="1">IFERROR(__xludf.DUMMYFUNCTION("""COMPUTED_VALUE"""),4)</f>
        <v>4</v>
      </c>
      <c r="N275" s="8"/>
    </row>
    <row r="276" spans="1:14" ht="12.45" hidden="1">
      <c r="A276" t="str">
        <f ca="1">IFERROR(__xludf.DUMMYFUNCTION("""COMPUTED_VALUE"""),"III-3-180")</f>
        <v>III-3-180</v>
      </c>
      <c r="B276" t="str">
        <f ca="1">IFERROR(__xludf.DUMMYFUNCTION("""COMPUTED_VALUE"""),"Игнатенко")</f>
        <v>Игнатенко</v>
      </c>
      <c r="C276" t="str">
        <f ca="1">IFERROR(__xludf.DUMMYFUNCTION("""COMPUTED_VALUE"""),"Константин")</f>
        <v>Константин</v>
      </c>
      <c r="D276" t="str">
        <f ca="1">IFERROR(__xludf.DUMMYFUNCTION("""COMPUTED_VALUE"""),"Школа 246")</f>
        <v>Школа 246</v>
      </c>
      <c r="E276" s="5">
        <f ca="1">IFERROR(__xludf.DUMMYFUNCTION("""COMPUTED_VALUE"""),0)</f>
        <v>0</v>
      </c>
      <c r="F276" s="5">
        <f ca="1">IFERROR(__xludf.DUMMYFUNCTION("""COMPUTED_VALUE"""),1)</f>
        <v>1</v>
      </c>
      <c r="G276" s="5">
        <f ca="1">IFERROR(__xludf.DUMMYFUNCTION("""COMPUTED_VALUE"""),1)</f>
        <v>1</v>
      </c>
      <c r="H276" s="5">
        <f ca="1">IFERROR(__xludf.DUMMYFUNCTION("""COMPUTED_VALUE"""),0)</f>
        <v>0</v>
      </c>
      <c r="I276" s="5">
        <f ca="1">IFERROR(__xludf.DUMMYFUNCTION("""COMPUTED_VALUE"""),2)</f>
        <v>2</v>
      </c>
      <c r="J276" s="5">
        <f ca="1">IFERROR(__xludf.DUMMYFUNCTION("""COMPUTED_VALUE"""),0)</f>
        <v>0</v>
      </c>
      <c r="K276" s="5">
        <f ca="1">IFERROR(__xludf.DUMMYFUNCTION("""COMPUTED_VALUE"""),0)</f>
        <v>0</v>
      </c>
      <c r="L276" s="5">
        <f ca="1">IFERROR(__xludf.DUMMYFUNCTION("""COMPUTED_VALUE"""),0)</f>
        <v>0</v>
      </c>
      <c r="M276">
        <f ca="1">IFERROR(__xludf.DUMMYFUNCTION("""COMPUTED_VALUE"""),4)</f>
        <v>4</v>
      </c>
      <c r="N276" s="8"/>
    </row>
    <row r="277" spans="1:14" ht="12.45" hidden="1">
      <c r="A277" t="str">
        <f ca="1">IFERROR(__xludf.DUMMYFUNCTION("""COMPUTED_VALUE"""),"V-3-490")</f>
        <v>V-3-490</v>
      </c>
      <c r="B277" t="str">
        <f ca="1">IFERROR(__xludf.DUMMYFUNCTION("""COMPUTED_VALUE"""),"Смирнов")</f>
        <v>Смирнов</v>
      </c>
      <c r="C277" t="str">
        <f ca="1">IFERROR(__xludf.DUMMYFUNCTION("""COMPUTED_VALUE"""),"Иван")</f>
        <v>Иван</v>
      </c>
      <c r="D277" t="str">
        <f ca="1">IFERROR(__xludf.DUMMYFUNCTION("""COMPUTED_VALUE"""),"Гимназия 63")</f>
        <v>Гимназия 63</v>
      </c>
      <c r="E277" s="5">
        <f ca="1">IFERROR(__xludf.DUMMYFUNCTION("""COMPUTED_VALUE"""),0)</f>
        <v>0</v>
      </c>
      <c r="F277" s="5">
        <f ca="1">IFERROR(__xludf.DUMMYFUNCTION("""COMPUTED_VALUE"""),1)</f>
        <v>1</v>
      </c>
      <c r="G277" s="5">
        <f ca="1">IFERROR(__xludf.DUMMYFUNCTION("""COMPUTED_VALUE"""),0)</f>
        <v>0</v>
      </c>
      <c r="H277" s="5">
        <f ca="1">IFERROR(__xludf.DUMMYFUNCTION("""COMPUTED_VALUE"""),0)</f>
        <v>0</v>
      </c>
      <c r="I277" s="5">
        <f ca="1">IFERROR(__xludf.DUMMYFUNCTION("""COMPUTED_VALUE"""),2)</f>
        <v>2</v>
      </c>
      <c r="J277" s="5">
        <f ca="1">IFERROR(__xludf.DUMMYFUNCTION("""COMPUTED_VALUE"""),0)</f>
        <v>0</v>
      </c>
      <c r="K277" s="5">
        <f ca="1">IFERROR(__xludf.DUMMYFUNCTION("""COMPUTED_VALUE"""),1)</f>
        <v>1</v>
      </c>
      <c r="L277" s="5">
        <f ca="1">IFERROR(__xludf.DUMMYFUNCTION("""COMPUTED_VALUE"""),0)</f>
        <v>0</v>
      </c>
      <c r="M277">
        <f ca="1">IFERROR(__xludf.DUMMYFUNCTION("""COMPUTED_VALUE"""),4)</f>
        <v>4</v>
      </c>
      <c r="N277" s="8"/>
    </row>
    <row r="278" spans="1:14" ht="12.45" hidden="1">
      <c r="A278" t="str">
        <f ca="1">IFERROR(__xludf.DUMMYFUNCTION("""COMPUTED_VALUE"""),"V-3-344")</f>
        <v>V-3-344</v>
      </c>
      <c r="B278" t="str">
        <f ca="1">IFERROR(__xludf.DUMMYFUNCTION("""COMPUTED_VALUE"""),"Музафаров")</f>
        <v>Музафаров</v>
      </c>
      <c r="C278" t="str">
        <f ca="1">IFERROR(__xludf.DUMMYFUNCTION("""COMPUTED_VALUE"""),"Марк-Антуан")</f>
        <v>Марк-Антуан</v>
      </c>
      <c r="D278" t="str">
        <f ca="1">IFERROR(__xludf.DUMMYFUNCTION("""COMPUTED_VALUE"""),"Школа 535")</f>
        <v>Школа 535</v>
      </c>
      <c r="E278" s="5">
        <f ca="1">IFERROR(__xludf.DUMMYFUNCTION("""COMPUTED_VALUE"""),0)</f>
        <v>0</v>
      </c>
      <c r="F278" s="5">
        <f ca="1">IFERROR(__xludf.DUMMYFUNCTION("""COMPUTED_VALUE"""),2)</f>
        <v>2</v>
      </c>
      <c r="G278" s="5">
        <f ca="1">IFERROR(__xludf.DUMMYFUNCTION("""COMPUTED_VALUE"""),2)</f>
        <v>2</v>
      </c>
      <c r="H278" s="5">
        <f ca="1">IFERROR(__xludf.DUMMYFUNCTION("""COMPUTED_VALUE"""),0)</f>
        <v>0</v>
      </c>
      <c r="I278" s="5">
        <f ca="1">IFERROR(__xludf.DUMMYFUNCTION("""COMPUTED_VALUE"""),0)</f>
        <v>0</v>
      </c>
      <c r="J278" s="5">
        <f ca="1">IFERROR(__xludf.DUMMYFUNCTION("""COMPUTED_VALUE"""),0)</f>
        <v>0</v>
      </c>
      <c r="K278" s="5">
        <f ca="1">IFERROR(__xludf.DUMMYFUNCTION("""COMPUTED_VALUE"""),0)</f>
        <v>0</v>
      </c>
      <c r="L278" s="5">
        <f ca="1">IFERROR(__xludf.DUMMYFUNCTION("""COMPUTED_VALUE"""),0)</f>
        <v>0</v>
      </c>
      <c r="M278">
        <f ca="1">IFERROR(__xludf.DUMMYFUNCTION("""COMPUTED_VALUE"""),4)</f>
        <v>4</v>
      </c>
      <c r="N278" s="8"/>
    </row>
    <row r="279" spans="1:14" ht="12.45" hidden="1">
      <c r="A279" t="str">
        <f ca="1">IFERROR(__xludf.DUMMYFUNCTION("""COMPUTED_VALUE"""),"III-3-705")</f>
        <v>III-3-705</v>
      </c>
      <c r="B279" t="str">
        <f ca="1">IFERROR(__xludf.DUMMYFUNCTION("""COMPUTED_VALUE"""),"Бойков")</f>
        <v>Бойков</v>
      </c>
      <c r="C279" t="str">
        <f ca="1">IFERROR(__xludf.DUMMYFUNCTION("""COMPUTED_VALUE"""),"Тихон")</f>
        <v>Тихон</v>
      </c>
      <c r="D279" t="str">
        <f ca="1">IFERROR(__xludf.DUMMYFUNCTION("""COMPUTED_VALUE"""),"Школа №80")</f>
        <v>Школа №80</v>
      </c>
      <c r="E279" s="5">
        <f ca="1">IFERROR(__xludf.DUMMYFUNCTION("""COMPUTED_VALUE"""),1)</f>
        <v>1</v>
      </c>
      <c r="F279" s="5">
        <f ca="1">IFERROR(__xludf.DUMMYFUNCTION("""COMPUTED_VALUE"""),1)</f>
        <v>1</v>
      </c>
      <c r="G279" s="5">
        <f ca="1">IFERROR(__xludf.DUMMYFUNCTION("""COMPUTED_VALUE"""),0)</f>
        <v>0</v>
      </c>
      <c r="H279" s="5">
        <f ca="1">IFERROR(__xludf.DUMMYFUNCTION("""COMPUTED_VALUE"""),0)</f>
        <v>0</v>
      </c>
      <c r="I279" s="5">
        <f ca="1">IFERROR(__xludf.DUMMYFUNCTION("""COMPUTED_VALUE"""),0)</f>
        <v>0</v>
      </c>
      <c r="J279" s="5">
        <f ca="1">IFERROR(__xludf.DUMMYFUNCTION("""COMPUTED_VALUE"""),0)</f>
        <v>0</v>
      </c>
      <c r="K279" s="5">
        <f ca="1">IFERROR(__xludf.DUMMYFUNCTION("""COMPUTED_VALUE"""),2)</f>
        <v>2</v>
      </c>
      <c r="L279" s="5">
        <f ca="1">IFERROR(__xludf.DUMMYFUNCTION("""COMPUTED_VALUE"""),0)</f>
        <v>0</v>
      </c>
      <c r="M279">
        <f ca="1">IFERROR(__xludf.DUMMYFUNCTION("""COMPUTED_VALUE"""),4)</f>
        <v>4</v>
      </c>
      <c r="N279" s="8"/>
    </row>
    <row r="280" spans="1:14" ht="12.45" hidden="1">
      <c r="A280" t="str">
        <f ca="1">IFERROR(__xludf.DUMMYFUNCTION("""COMPUTED_VALUE"""),"III-3-170")</f>
        <v>III-3-170</v>
      </c>
      <c r="B280" t="str">
        <f ca="1">IFERROR(__xludf.DUMMYFUNCTION("""COMPUTED_VALUE"""),"Иванов")</f>
        <v>Иванов</v>
      </c>
      <c r="C280" t="str">
        <f ca="1">IFERROR(__xludf.DUMMYFUNCTION("""COMPUTED_VALUE"""),"Николай")</f>
        <v>Николай</v>
      </c>
      <c r="D280" t="str">
        <f ca="1">IFERROR(__xludf.DUMMYFUNCTION("""COMPUTED_VALUE"""),"Гимназия 642")</f>
        <v>Гимназия 642</v>
      </c>
      <c r="E280" s="5">
        <f ca="1">IFERROR(__xludf.DUMMYFUNCTION("""COMPUTED_VALUE"""),0)</f>
        <v>0</v>
      </c>
      <c r="F280" s="5">
        <f ca="1">IFERROR(__xludf.DUMMYFUNCTION("""COMPUTED_VALUE"""),1)</f>
        <v>1</v>
      </c>
      <c r="G280" s="5">
        <f ca="1">IFERROR(__xludf.DUMMYFUNCTION("""COMPUTED_VALUE"""),1)</f>
        <v>1</v>
      </c>
      <c r="H280" s="5">
        <f ca="1">IFERROR(__xludf.DUMMYFUNCTION("""COMPUTED_VALUE"""),0)</f>
        <v>0</v>
      </c>
      <c r="I280" s="5">
        <f ca="1">IFERROR(__xludf.DUMMYFUNCTION("""COMPUTED_VALUE"""),0)</f>
        <v>0</v>
      </c>
      <c r="J280" s="5">
        <f ca="1">IFERROR(__xludf.DUMMYFUNCTION("""COMPUTED_VALUE"""),1)</f>
        <v>1</v>
      </c>
      <c r="K280" s="5">
        <f ca="1">IFERROR(__xludf.DUMMYFUNCTION("""COMPUTED_VALUE"""),1)</f>
        <v>1</v>
      </c>
      <c r="L280" s="5">
        <f ca="1">IFERROR(__xludf.DUMMYFUNCTION("""COMPUTED_VALUE"""),0)</f>
        <v>0</v>
      </c>
      <c r="M280">
        <f ca="1">IFERROR(__xludf.DUMMYFUNCTION("""COMPUTED_VALUE"""),4)</f>
        <v>4</v>
      </c>
      <c r="N280" s="8"/>
    </row>
    <row r="281" spans="1:14" ht="12.45" hidden="1">
      <c r="A281" t="str">
        <f ca="1">IFERROR(__xludf.DUMMYFUNCTION("""COMPUTED_VALUE"""),"III-3-224")</f>
        <v>III-3-224</v>
      </c>
      <c r="B281" t="str">
        <f ca="1">IFERROR(__xludf.DUMMYFUNCTION("""COMPUTED_VALUE"""),"Козырева")</f>
        <v>Козырева</v>
      </c>
      <c r="C281" t="str">
        <f ca="1">IFERROR(__xludf.DUMMYFUNCTION("""COMPUTED_VALUE"""),"Екатерина")</f>
        <v>Екатерина</v>
      </c>
      <c r="D281" t="str">
        <f ca="1">IFERROR(__xludf.DUMMYFUNCTION("""COMPUTED_VALUE"""),"Лицей 101")</f>
        <v>Лицей 101</v>
      </c>
      <c r="E281" s="5">
        <f ca="1">IFERROR(__xludf.DUMMYFUNCTION("""COMPUTED_VALUE"""),1)</f>
        <v>1</v>
      </c>
      <c r="F281" s="5">
        <f ca="1">IFERROR(__xludf.DUMMYFUNCTION("""COMPUTED_VALUE"""),1)</f>
        <v>1</v>
      </c>
      <c r="G281" s="5">
        <f ca="1">IFERROR(__xludf.DUMMYFUNCTION("""COMPUTED_VALUE"""),1)</f>
        <v>1</v>
      </c>
      <c r="H281" s="5">
        <f ca="1">IFERROR(__xludf.DUMMYFUNCTION("""COMPUTED_VALUE"""),0)</f>
        <v>0</v>
      </c>
      <c r="I281" s="5">
        <f ca="1">IFERROR(__xludf.DUMMYFUNCTION("""COMPUTED_VALUE"""),0)</f>
        <v>0</v>
      </c>
      <c r="J281" s="5">
        <f ca="1">IFERROR(__xludf.DUMMYFUNCTION("""COMPUTED_VALUE"""),0)</f>
        <v>0</v>
      </c>
      <c r="K281" s="5">
        <f ca="1">IFERROR(__xludf.DUMMYFUNCTION("""COMPUTED_VALUE"""),0)</f>
        <v>0</v>
      </c>
      <c r="L281" s="5">
        <f ca="1">IFERROR(__xludf.DUMMYFUNCTION("""COMPUTED_VALUE"""),1)</f>
        <v>1</v>
      </c>
      <c r="M281">
        <f ca="1">IFERROR(__xludf.DUMMYFUNCTION("""COMPUTED_VALUE"""),4)</f>
        <v>4</v>
      </c>
      <c r="N281" s="8"/>
    </row>
    <row r="282" spans="1:14" ht="12.45" hidden="1">
      <c r="A282" t="str">
        <f ca="1">IFERROR(__xludf.DUMMYFUNCTION("""COMPUTED_VALUE"""),"III-3-194")</f>
        <v>III-3-194</v>
      </c>
      <c r="B282" t="str">
        <f ca="1">IFERROR(__xludf.DUMMYFUNCTION("""COMPUTED_VALUE"""),"Калистратова")</f>
        <v>Калистратова</v>
      </c>
      <c r="C282" t="str">
        <f ca="1">IFERROR(__xludf.DUMMYFUNCTION("""COMPUTED_VALUE"""),"Василиса")</f>
        <v>Василиса</v>
      </c>
      <c r="D282" t="str">
        <f ca="1">IFERROR(__xludf.DUMMYFUNCTION("""COMPUTED_VALUE"""),"Школа Квадривиум")</f>
        <v>Школа Квадривиум</v>
      </c>
      <c r="E282" s="5">
        <f ca="1">IFERROR(__xludf.DUMMYFUNCTION("""COMPUTED_VALUE"""),1)</f>
        <v>1</v>
      </c>
      <c r="F282" s="5">
        <f ca="1">IFERROR(__xludf.DUMMYFUNCTION("""COMPUTED_VALUE"""),0)</f>
        <v>0</v>
      </c>
      <c r="G282" s="5">
        <f ca="1">IFERROR(__xludf.DUMMYFUNCTION("""COMPUTED_VALUE"""),3)</f>
        <v>3</v>
      </c>
      <c r="H282" s="5">
        <f ca="1">IFERROR(__xludf.DUMMYFUNCTION("""COMPUTED_VALUE"""),0)</f>
        <v>0</v>
      </c>
      <c r="I282" s="5">
        <f ca="1">IFERROR(__xludf.DUMMYFUNCTION("""COMPUTED_VALUE"""),0)</f>
        <v>0</v>
      </c>
      <c r="J282" s="5">
        <f ca="1">IFERROR(__xludf.DUMMYFUNCTION("""COMPUTED_VALUE"""),0)</f>
        <v>0</v>
      </c>
      <c r="K282" s="5">
        <f ca="1">IFERROR(__xludf.DUMMYFUNCTION("""COMPUTED_VALUE"""),0)</f>
        <v>0</v>
      </c>
      <c r="L282" s="5">
        <f ca="1">IFERROR(__xludf.DUMMYFUNCTION("""COMPUTED_VALUE"""),0)</f>
        <v>0</v>
      </c>
      <c r="M282">
        <f ca="1">IFERROR(__xludf.DUMMYFUNCTION("""COMPUTED_VALUE"""),4)</f>
        <v>4</v>
      </c>
      <c r="N282" s="8"/>
    </row>
    <row r="283" spans="1:14" ht="12.45" hidden="1">
      <c r="A283" t="str">
        <f ca="1">IFERROR(__xludf.DUMMYFUNCTION("""COMPUTED_VALUE"""),"III-3-208")</f>
        <v>III-3-208</v>
      </c>
      <c r="B283" t="str">
        <f ca="1">IFERROR(__xludf.DUMMYFUNCTION("""COMPUTED_VALUE"""),"Кириченко")</f>
        <v>Кириченко</v>
      </c>
      <c r="C283" t="str">
        <f ca="1">IFERROR(__xludf.DUMMYFUNCTION("""COMPUTED_VALUE"""),"Ульяна")</f>
        <v>Ульяна</v>
      </c>
      <c r="D283" t="str">
        <f ca="1">IFERROR(__xludf.DUMMYFUNCTION("""COMPUTED_VALUE"""),"Гимназия 32")</f>
        <v>Гимназия 32</v>
      </c>
      <c r="E283" s="5">
        <f ca="1">IFERROR(__xludf.DUMMYFUNCTION("""COMPUTED_VALUE"""),0)</f>
        <v>0</v>
      </c>
      <c r="F283" s="5">
        <f ca="1">IFERROR(__xludf.DUMMYFUNCTION("""COMPUTED_VALUE"""),0)</f>
        <v>0</v>
      </c>
      <c r="G283" s="5">
        <f ca="1">IFERROR(__xludf.DUMMYFUNCTION("""COMPUTED_VALUE"""),2)</f>
        <v>2</v>
      </c>
      <c r="H283" s="5">
        <f ca="1">IFERROR(__xludf.DUMMYFUNCTION("""COMPUTED_VALUE"""),0)</f>
        <v>0</v>
      </c>
      <c r="I283" s="5">
        <f ca="1">IFERROR(__xludf.DUMMYFUNCTION("""COMPUTED_VALUE"""),0)</f>
        <v>0</v>
      </c>
      <c r="J283" s="5">
        <f ca="1">IFERROR(__xludf.DUMMYFUNCTION("""COMPUTED_VALUE"""),0)</f>
        <v>0</v>
      </c>
      <c r="K283" s="5">
        <f ca="1">IFERROR(__xludf.DUMMYFUNCTION("""COMPUTED_VALUE"""),2)</f>
        <v>2</v>
      </c>
      <c r="L283" s="5">
        <f ca="1">IFERROR(__xludf.DUMMYFUNCTION("""COMPUTED_VALUE"""),0)</f>
        <v>0</v>
      </c>
      <c r="M283">
        <f ca="1">IFERROR(__xludf.DUMMYFUNCTION("""COMPUTED_VALUE"""),4)</f>
        <v>4</v>
      </c>
      <c r="N283" s="8"/>
    </row>
    <row r="284" spans="1:14" ht="12.45" hidden="1">
      <c r="A284" t="str">
        <f ca="1">IFERROR(__xludf.DUMMYFUNCTION("""COMPUTED_VALUE"""),"V-3-466")</f>
        <v>V-3-466</v>
      </c>
      <c r="B284" t="str">
        <f ca="1">IFERROR(__xludf.DUMMYFUNCTION("""COMPUTED_VALUE"""),"Семенов")</f>
        <v>Семенов</v>
      </c>
      <c r="C284" t="str">
        <f ca="1">IFERROR(__xludf.DUMMYFUNCTION("""COMPUTED_VALUE"""),"Глеб")</f>
        <v>Глеб</v>
      </c>
      <c r="D284" t="str">
        <f ca="1">IFERROR(__xludf.DUMMYFUNCTION("""COMPUTED_VALUE"""),"Лицей 470")</f>
        <v>Лицей 470</v>
      </c>
      <c r="E284" s="5">
        <f ca="1">IFERROR(__xludf.DUMMYFUNCTION("""COMPUTED_VALUE"""),0)</f>
        <v>0</v>
      </c>
      <c r="F284" s="5">
        <f ca="1">IFERROR(__xludf.DUMMYFUNCTION("""COMPUTED_VALUE"""),2)</f>
        <v>2</v>
      </c>
      <c r="G284" s="5">
        <f ca="1">IFERROR(__xludf.DUMMYFUNCTION("""COMPUTED_VALUE"""),2)</f>
        <v>2</v>
      </c>
      <c r="H284" s="5">
        <f ca="1">IFERROR(__xludf.DUMMYFUNCTION("""COMPUTED_VALUE"""),0)</f>
        <v>0</v>
      </c>
      <c r="I284" s="5">
        <f ca="1">IFERROR(__xludf.DUMMYFUNCTION("""COMPUTED_VALUE"""),0)</f>
        <v>0</v>
      </c>
      <c r="J284" s="5">
        <f ca="1">IFERROR(__xludf.DUMMYFUNCTION("""COMPUTED_VALUE"""),0)</f>
        <v>0</v>
      </c>
      <c r="K284" s="5">
        <f ca="1">IFERROR(__xludf.DUMMYFUNCTION("""COMPUTED_VALUE"""),0)</f>
        <v>0</v>
      </c>
      <c r="L284" s="5">
        <f ca="1">IFERROR(__xludf.DUMMYFUNCTION("""COMPUTED_VALUE"""),0)</f>
        <v>0</v>
      </c>
      <c r="M284">
        <f ca="1">IFERROR(__xludf.DUMMYFUNCTION("""COMPUTED_VALUE"""),4)</f>
        <v>4</v>
      </c>
      <c r="N284" s="8"/>
    </row>
    <row r="285" spans="1:14" ht="12.45" hidden="1">
      <c r="A285" t="str">
        <f ca="1">IFERROR(__xludf.DUMMYFUNCTION("""COMPUTED_VALUE"""),"V-3-396")</f>
        <v>V-3-396</v>
      </c>
      <c r="B285" t="str">
        <f ca="1">IFERROR(__xludf.DUMMYFUNCTION("""COMPUTED_VALUE"""),"Пак")</f>
        <v>Пак</v>
      </c>
      <c r="C285" t="str">
        <f ca="1">IFERROR(__xludf.DUMMYFUNCTION("""COMPUTED_VALUE"""),"Константин")</f>
        <v>Константин</v>
      </c>
      <c r="D285" t="str">
        <f ca="1">IFERROR(__xludf.DUMMYFUNCTION("""COMPUTED_VALUE"""),"Школа 601")</f>
        <v>Школа 601</v>
      </c>
      <c r="E285" s="5">
        <f ca="1">IFERROR(__xludf.DUMMYFUNCTION("""COMPUTED_VALUE"""),1)</f>
        <v>1</v>
      </c>
      <c r="F285" s="5">
        <f ca="1">IFERROR(__xludf.DUMMYFUNCTION("""COMPUTED_VALUE"""),2)</f>
        <v>2</v>
      </c>
      <c r="G285" s="5">
        <f ca="1">IFERROR(__xludf.DUMMYFUNCTION("""COMPUTED_VALUE"""),0)</f>
        <v>0</v>
      </c>
      <c r="H285" s="5">
        <f ca="1">IFERROR(__xludf.DUMMYFUNCTION("""COMPUTED_VALUE"""),0)</f>
        <v>0</v>
      </c>
      <c r="I285" s="5">
        <f ca="1">IFERROR(__xludf.DUMMYFUNCTION("""COMPUTED_VALUE"""),0)</f>
        <v>0</v>
      </c>
      <c r="J285" s="5">
        <f ca="1">IFERROR(__xludf.DUMMYFUNCTION("""COMPUTED_VALUE"""),0)</f>
        <v>0</v>
      </c>
      <c r="K285" s="5">
        <f ca="1">IFERROR(__xludf.DUMMYFUNCTION("""COMPUTED_VALUE"""),1)</f>
        <v>1</v>
      </c>
      <c r="L285" s="5">
        <f ca="1">IFERROR(__xludf.DUMMYFUNCTION("""COMPUTED_VALUE"""),0)</f>
        <v>0</v>
      </c>
      <c r="M285">
        <f ca="1">IFERROR(__xludf.DUMMYFUNCTION("""COMPUTED_VALUE"""),4)</f>
        <v>4</v>
      </c>
      <c r="N285" s="8"/>
    </row>
    <row r="286" spans="1:14" ht="12.45" hidden="1">
      <c r="A286" t="str">
        <f ca="1">IFERROR(__xludf.DUMMYFUNCTION("""COMPUTED_VALUE"""),"III-3-196")</f>
        <v>III-3-196</v>
      </c>
      <c r="B286" t="str">
        <f ca="1">IFERROR(__xludf.DUMMYFUNCTION("""COMPUTED_VALUE"""),"Камышанова")</f>
        <v>Камышанова</v>
      </c>
      <c r="C286" t="str">
        <f ca="1">IFERROR(__xludf.DUMMYFUNCTION("""COMPUTED_VALUE"""),"Мария")</f>
        <v>Мария</v>
      </c>
      <c r="D286" t="str">
        <f ca="1">IFERROR(__xludf.DUMMYFUNCTION("""COMPUTED_VALUE"""),"Гимназия 642")</f>
        <v>Гимназия 642</v>
      </c>
      <c r="E286" s="5">
        <f ca="1">IFERROR(__xludf.DUMMYFUNCTION("""COMPUTED_VALUE"""),1)</f>
        <v>1</v>
      </c>
      <c r="F286" s="5">
        <f ca="1">IFERROR(__xludf.DUMMYFUNCTION("""COMPUTED_VALUE"""),1)</f>
        <v>1</v>
      </c>
      <c r="G286" s="5">
        <f ca="1">IFERROR(__xludf.DUMMYFUNCTION("""COMPUTED_VALUE"""),0)</f>
        <v>0</v>
      </c>
      <c r="H286" s="5">
        <f ca="1">IFERROR(__xludf.DUMMYFUNCTION("""COMPUTED_VALUE"""),0)</f>
        <v>0</v>
      </c>
      <c r="I286" s="5">
        <f ca="1">IFERROR(__xludf.DUMMYFUNCTION("""COMPUTED_VALUE"""),0)</f>
        <v>0</v>
      </c>
      <c r="J286" s="5">
        <f ca="1">IFERROR(__xludf.DUMMYFUNCTION("""COMPUTED_VALUE"""),0)</f>
        <v>0</v>
      </c>
      <c r="K286" s="5">
        <f ca="1">IFERROR(__xludf.DUMMYFUNCTION("""COMPUTED_VALUE"""),2)</f>
        <v>2</v>
      </c>
      <c r="L286" s="5">
        <f ca="1">IFERROR(__xludf.DUMMYFUNCTION("""COMPUTED_VALUE"""),0)</f>
        <v>0</v>
      </c>
      <c r="M286">
        <f ca="1">IFERROR(__xludf.DUMMYFUNCTION("""COMPUTED_VALUE"""),4)</f>
        <v>4</v>
      </c>
      <c r="N286" s="8"/>
    </row>
    <row r="287" spans="1:14" ht="12.45" hidden="1">
      <c r="A287" t="str">
        <f ca="1">IFERROR(__xludf.DUMMYFUNCTION("""COMPUTED_VALUE"""),"III-3-004")</f>
        <v>III-3-004</v>
      </c>
      <c r="B287" t="str">
        <f ca="1">IFERROR(__xludf.DUMMYFUNCTION("""COMPUTED_VALUE"""),"Авилов")</f>
        <v>Авилов</v>
      </c>
      <c r="C287" t="str">
        <f ca="1">IFERROR(__xludf.DUMMYFUNCTION("""COMPUTED_VALUE"""),"Роман")</f>
        <v>Роман</v>
      </c>
      <c r="D287" t="str">
        <f ca="1">IFERROR(__xludf.DUMMYFUNCTION("""COMPUTED_VALUE"""),"Школа 489")</f>
        <v>Школа 489</v>
      </c>
      <c r="E287" s="5">
        <f ca="1">IFERROR(__xludf.DUMMYFUNCTION("""COMPUTED_VALUE"""),0)</f>
        <v>0</v>
      </c>
      <c r="F287" s="5">
        <f ca="1">IFERROR(__xludf.DUMMYFUNCTION("""COMPUTED_VALUE"""),1)</f>
        <v>1</v>
      </c>
      <c r="G287" s="5">
        <f ca="1">IFERROR(__xludf.DUMMYFUNCTION("""COMPUTED_VALUE"""),2)</f>
        <v>2</v>
      </c>
      <c r="H287" s="5">
        <f ca="1">IFERROR(__xludf.DUMMYFUNCTION("""COMPUTED_VALUE"""),0)</f>
        <v>0</v>
      </c>
      <c r="I287" s="5">
        <f ca="1">IFERROR(__xludf.DUMMYFUNCTION("""COMPUTED_VALUE"""),0)</f>
        <v>0</v>
      </c>
      <c r="J287" s="5">
        <f ca="1">IFERROR(__xludf.DUMMYFUNCTION("""COMPUTED_VALUE"""),1)</f>
        <v>1</v>
      </c>
      <c r="K287" s="5">
        <f ca="1">IFERROR(__xludf.DUMMYFUNCTION("""COMPUTED_VALUE"""),0)</f>
        <v>0</v>
      </c>
      <c r="L287" s="5">
        <f ca="1">IFERROR(__xludf.DUMMYFUNCTION("""COMPUTED_VALUE"""),0)</f>
        <v>0</v>
      </c>
      <c r="M287">
        <f ca="1">IFERROR(__xludf.DUMMYFUNCTION("""COMPUTED_VALUE"""),4)</f>
        <v>4</v>
      </c>
      <c r="N287" s="8"/>
    </row>
    <row r="288" spans="1:14" ht="12.45" hidden="1">
      <c r="A288" t="str">
        <f ca="1">IFERROR(__xludf.DUMMYFUNCTION("""COMPUTED_VALUE"""),"III-3-259")</f>
        <v>III-3-259</v>
      </c>
      <c r="B288" t="str">
        <f ca="1">IFERROR(__xludf.DUMMYFUNCTION("""COMPUTED_VALUE"""),"Кузьминов")</f>
        <v>Кузьминов</v>
      </c>
      <c r="C288" t="str">
        <f ca="1">IFERROR(__xludf.DUMMYFUNCTION("""COMPUTED_VALUE"""),"Сергей")</f>
        <v>Сергей</v>
      </c>
      <c r="D288" t="str">
        <f ca="1">IFERROR(__xludf.DUMMYFUNCTION("""COMPUTED_VALUE"""),"Школа 13")</f>
        <v>Школа 13</v>
      </c>
      <c r="E288" s="5">
        <f ca="1">IFERROR(__xludf.DUMMYFUNCTION("""COMPUTED_VALUE"""),1)</f>
        <v>1</v>
      </c>
      <c r="F288" s="5">
        <f ca="1">IFERROR(__xludf.DUMMYFUNCTION("""COMPUTED_VALUE"""),0)</f>
        <v>0</v>
      </c>
      <c r="G288" s="5">
        <f ca="1">IFERROR(__xludf.DUMMYFUNCTION("""COMPUTED_VALUE"""),1)</f>
        <v>1</v>
      </c>
      <c r="H288" s="5">
        <f ca="1">IFERROR(__xludf.DUMMYFUNCTION("""COMPUTED_VALUE"""),0)</f>
        <v>0</v>
      </c>
      <c r="I288" s="5">
        <f ca="1">IFERROR(__xludf.DUMMYFUNCTION("""COMPUTED_VALUE"""),0)</f>
        <v>0</v>
      </c>
      <c r="J288" s="5">
        <f ca="1">IFERROR(__xludf.DUMMYFUNCTION("""COMPUTED_VALUE"""),0)</f>
        <v>0</v>
      </c>
      <c r="K288" s="5">
        <f ca="1">IFERROR(__xludf.DUMMYFUNCTION("""COMPUTED_VALUE"""),1)</f>
        <v>1</v>
      </c>
      <c r="L288" s="5">
        <f ca="1">IFERROR(__xludf.DUMMYFUNCTION("""COMPUTED_VALUE"""),1)</f>
        <v>1</v>
      </c>
      <c r="M288">
        <f ca="1">IFERROR(__xludf.DUMMYFUNCTION("""COMPUTED_VALUE"""),4)</f>
        <v>4</v>
      </c>
      <c r="N288" s="8"/>
    </row>
    <row r="289" spans="1:14" ht="12.45" hidden="1">
      <c r="A289" t="str">
        <f ca="1">IFERROR(__xludf.DUMMYFUNCTION("""COMPUTED_VALUE"""),"V-3-431")</f>
        <v>V-3-431</v>
      </c>
      <c r="B289" t="str">
        <f ca="1">IFERROR(__xludf.DUMMYFUNCTION("""COMPUTED_VALUE"""),"Пшонов")</f>
        <v>Пшонов</v>
      </c>
      <c r="C289" t="str">
        <f ca="1">IFERROR(__xludf.DUMMYFUNCTION("""COMPUTED_VALUE"""),"Александр")</f>
        <v>Александр</v>
      </c>
      <c r="D289" t="str">
        <f ca="1">IFERROR(__xludf.DUMMYFUNCTION("""COMPUTED_VALUE"""),"Лицей 101")</f>
        <v>Лицей 101</v>
      </c>
      <c r="E289" s="5">
        <f ca="1">IFERROR(__xludf.DUMMYFUNCTION("""COMPUTED_VALUE"""),0)</f>
        <v>0</v>
      </c>
      <c r="F289" s="5">
        <f ca="1">IFERROR(__xludf.DUMMYFUNCTION("""COMPUTED_VALUE"""),1)</f>
        <v>1</v>
      </c>
      <c r="G289" s="5">
        <f ca="1">IFERROR(__xludf.DUMMYFUNCTION("""COMPUTED_VALUE"""),1)</f>
        <v>1</v>
      </c>
      <c r="H289" s="5">
        <f ca="1">IFERROR(__xludf.DUMMYFUNCTION("""COMPUTED_VALUE"""),0)</f>
        <v>0</v>
      </c>
      <c r="I289" s="5">
        <f ca="1">IFERROR(__xludf.DUMMYFUNCTION("""COMPUTED_VALUE"""),0)</f>
        <v>0</v>
      </c>
      <c r="J289" s="5">
        <f ca="1">IFERROR(__xludf.DUMMYFUNCTION("""COMPUTED_VALUE"""),0)</f>
        <v>0</v>
      </c>
      <c r="K289" s="5">
        <f ca="1">IFERROR(__xludf.DUMMYFUNCTION("""COMPUTED_VALUE"""),2)</f>
        <v>2</v>
      </c>
      <c r="L289" s="5">
        <f ca="1">IFERROR(__xludf.DUMMYFUNCTION("""COMPUTED_VALUE"""),0)</f>
        <v>0</v>
      </c>
      <c r="M289">
        <f ca="1">IFERROR(__xludf.DUMMYFUNCTION("""COMPUTED_VALUE"""),4)</f>
        <v>4</v>
      </c>
      <c r="N289" s="8"/>
    </row>
    <row r="290" spans="1:14" ht="12.45" hidden="1">
      <c r="A290" t="str">
        <f ca="1">IFERROR(__xludf.DUMMYFUNCTION("""COMPUTED_VALUE"""),"V-3-401")</f>
        <v>V-3-401</v>
      </c>
      <c r="B290" t="str">
        <f ca="1">IFERROR(__xludf.DUMMYFUNCTION("""COMPUTED_VALUE"""),"Панов")</f>
        <v>Панов</v>
      </c>
      <c r="C290" t="str">
        <f ca="1">IFERROR(__xludf.DUMMYFUNCTION("""COMPUTED_VALUE"""),"Лев")</f>
        <v>Лев</v>
      </c>
      <c r="D290" t="str">
        <f ca="1">IFERROR(__xludf.DUMMYFUNCTION("""COMPUTED_VALUE"""),"Лицей 101")</f>
        <v>Лицей 101</v>
      </c>
      <c r="E290" s="5">
        <f ca="1">IFERROR(__xludf.DUMMYFUNCTION("""COMPUTED_VALUE"""),1)</f>
        <v>1</v>
      </c>
      <c r="F290" s="5">
        <f ca="1">IFERROR(__xludf.DUMMYFUNCTION("""COMPUTED_VALUE"""),1)</f>
        <v>1</v>
      </c>
      <c r="G290" s="5">
        <f ca="1">IFERROR(__xludf.DUMMYFUNCTION("""COMPUTED_VALUE"""),1)</f>
        <v>1</v>
      </c>
      <c r="H290" s="5">
        <f ca="1">IFERROR(__xludf.DUMMYFUNCTION("""COMPUTED_VALUE"""),0)</f>
        <v>0</v>
      </c>
      <c r="I290" s="5">
        <f ca="1">IFERROR(__xludf.DUMMYFUNCTION("""COMPUTED_VALUE"""),0)</f>
        <v>0</v>
      </c>
      <c r="J290" s="5">
        <f ca="1">IFERROR(__xludf.DUMMYFUNCTION("""COMPUTED_VALUE"""),0)</f>
        <v>0</v>
      </c>
      <c r="K290" s="5">
        <f ca="1">IFERROR(__xludf.DUMMYFUNCTION("""COMPUTED_VALUE"""),1)</f>
        <v>1</v>
      </c>
      <c r="L290" s="5">
        <f ca="1">IFERROR(__xludf.DUMMYFUNCTION("""COMPUTED_VALUE"""),0)</f>
        <v>0</v>
      </c>
      <c r="M290">
        <f ca="1">IFERROR(__xludf.DUMMYFUNCTION("""COMPUTED_VALUE"""),4)</f>
        <v>4</v>
      </c>
      <c r="N290" s="8"/>
    </row>
    <row r="291" spans="1:14" ht="12.45" hidden="1">
      <c r="A291" t="str">
        <f ca="1">IFERROR(__xludf.DUMMYFUNCTION("""COMPUTED_VALUE"""),"III-3-025")</f>
        <v>III-3-025</v>
      </c>
      <c r="B291" t="str">
        <f ca="1">IFERROR(__xludf.DUMMYFUNCTION("""COMPUTED_VALUE"""),"Арбузова")</f>
        <v>Арбузова</v>
      </c>
      <c r="C291" t="str">
        <f ca="1">IFERROR(__xludf.DUMMYFUNCTION("""COMPUTED_VALUE"""),"Ульяна")</f>
        <v>Ульяна</v>
      </c>
      <c r="D291" t="str">
        <f ca="1">IFERROR(__xludf.DUMMYFUNCTION("""COMPUTED_VALUE"""),"Лицей 366")</f>
        <v>Лицей 366</v>
      </c>
      <c r="E291" s="5">
        <f ca="1">IFERROR(__xludf.DUMMYFUNCTION("""COMPUTED_VALUE"""),0)</f>
        <v>0</v>
      </c>
      <c r="F291" s="5">
        <f ca="1">IFERROR(__xludf.DUMMYFUNCTION("""COMPUTED_VALUE"""),0)</f>
        <v>0</v>
      </c>
      <c r="G291" s="5">
        <f ca="1">IFERROR(__xludf.DUMMYFUNCTION("""COMPUTED_VALUE"""),3)</f>
        <v>3</v>
      </c>
      <c r="H291" s="5">
        <f ca="1">IFERROR(__xludf.DUMMYFUNCTION("""COMPUTED_VALUE"""),0)</f>
        <v>0</v>
      </c>
      <c r="I291" s="5">
        <f ca="1">IFERROR(__xludf.DUMMYFUNCTION("""COMPUTED_VALUE"""),0)</f>
        <v>0</v>
      </c>
      <c r="J291" s="5">
        <f ca="1">IFERROR(__xludf.DUMMYFUNCTION("""COMPUTED_VALUE"""),0)</f>
        <v>0</v>
      </c>
      <c r="K291" s="5">
        <f ca="1">IFERROR(__xludf.DUMMYFUNCTION("""COMPUTED_VALUE"""),1)</f>
        <v>1</v>
      </c>
      <c r="L291" s="5">
        <f ca="1">IFERROR(__xludf.DUMMYFUNCTION("""COMPUTED_VALUE"""),0)</f>
        <v>0</v>
      </c>
      <c r="M291">
        <f ca="1">IFERROR(__xludf.DUMMYFUNCTION("""COMPUTED_VALUE"""),4)</f>
        <v>4</v>
      </c>
      <c r="N291" s="8"/>
    </row>
    <row r="292" spans="1:14" ht="12.45" hidden="1">
      <c r="A292" t="str">
        <f ca="1">IFERROR(__xludf.DUMMYFUNCTION("""COMPUTED_VALUE"""),"III-3-115")</f>
        <v>III-3-115</v>
      </c>
      <c r="B292" t="str">
        <f ca="1">IFERROR(__xludf.DUMMYFUNCTION("""COMPUTED_VALUE"""),"Грицаченко")</f>
        <v>Грицаченко</v>
      </c>
      <c r="C292" t="str">
        <f ca="1">IFERROR(__xludf.DUMMYFUNCTION("""COMPUTED_VALUE"""),"Кирилл")</f>
        <v>Кирилл</v>
      </c>
      <c r="D292" t="str">
        <f ca="1">IFERROR(__xludf.DUMMYFUNCTION("""COMPUTED_VALUE"""),"Школа 489")</f>
        <v>Школа 489</v>
      </c>
      <c r="E292" s="5">
        <f ca="1">IFERROR(__xludf.DUMMYFUNCTION("""COMPUTED_VALUE"""),0)</f>
        <v>0</v>
      </c>
      <c r="F292" s="5">
        <f ca="1">IFERROR(__xludf.DUMMYFUNCTION("""COMPUTED_VALUE"""),0)</f>
        <v>0</v>
      </c>
      <c r="G292" s="5">
        <f ca="1">IFERROR(__xludf.DUMMYFUNCTION("""COMPUTED_VALUE"""),1)</f>
        <v>1</v>
      </c>
      <c r="H292" s="5">
        <f ca="1">IFERROR(__xludf.DUMMYFUNCTION("""COMPUTED_VALUE"""),0)</f>
        <v>0</v>
      </c>
      <c r="I292" s="5">
        <f ca="1">IFERROR(__xludf.DUMMYFUNCTION("""COMPUTED_VALUE"""),0)</f>
        <v>0</v>
      </c>
      <c r="J292" s="5">
        <f ca="1">IFERROR(__xludf.DUMMYFUNCTION("""COMPUTED_VALUE"""),1)</f>
        <v>1</v>
      </c>
      <c r="K292" s="5">
        <f ca="1">IFERROR(__xludf.DUMMYFUNCTION("""COMPUTED_VALUE"""),2)</f>
        <v>2</v>
      </c>
      <c r="L292" s="5">
        <f ca="1">IFERROR(__xludf.DUMMYFUNCTION("""COMPUTED_VALUE"""),0)</f>
        <v>0</v>
      </c>
      <c r="M292">
        <f ca="1">IFERROR(__xludf.DUMMYFUNCTION("""COMPUTED_VALUE"""),4)</f>
        <v>4</v>
      </c>
      <c r="N292" s="8"/>
    </row>
    <row r="293" spans="1:14" ht="12.45" hidden="1">
      <c r="A293" t="str">
        <f ca="1">IFERROR(__xludf.DUMMYFUNCTION("""COMPUTED_VALUE"""),"III-3-239")</f>
        <v>III-3-239</v>
      </c>
      <c r="B293" t="str">
        <f ca="1">IFERROR(__xludf.DUMMYFUNCTION("""COMPUTED_VALUE"""),"Костюченко")</f>
        <v>Костюченко</v>
      </c>
      <c r="C293" t="str">
        <f ca="1">IFERROR(__xludf.DUMMYFUNCTION("""COMPUTED_VALUE"""),"Александр")</f>
        <v>Александр</v>
      </c>
      <c r="D293" t="str">
        <f ca="1">IFERROR(__xludf.DUMMYFUNCTION("""COMPUTED_VALUE"""),"Лицей 408")</f>
        <v>Лицей 408</v>
      </c>
      <c r="E293" s="5">
        <f ca="1">IFERROR(__xludf.DUMMYFUNCTION("""COMPUTED_VALUE"""),0)</f>
        <v>0</v>
      </c>
      <c r="F293" s="5">
        <f ca="1">IFERROR(__xludf.DUMMYFUNCTION("""COMPUTED_VALUE"""),0)</f>
        <v>0</v>
      </c>
      <c r="G293" s="5">
        <f ca="1">IFERROR(__xludf.DUMMYFUNCTION("""COMPUTED_VALUE"""),3)</f>
        <v>3</v>
      </c>
      <c r="H293" s="5">
        <f ca="1">IFERROR(__xludf.DUMMYFUNCTION("""COMPUTED_VALUE"""),0)</f>
        <v>0</v>
      </c>
      <c r="I293" s="5">
        <f ca="1">IFERROR(__xludf.DUMMYFUNCTION("""COMPUTED_VALUE"""),0)</f>
        <v>0</v>
      </c>
      <c r="J293" s="5">
        <f ca="1">IFERROR(__xludf.DUMMYFUNCTION("""COMPUTED_VALUE"""),0)</f>
        <v>0</v>
      </c>
      <c r="K293" s="5">
        <f ca="1">IFERROR(__xludf.DUMMYFUNCTION("""COMPUTED_VALUE"""),0)</f>
        <v>0</v>
      </c>
      <c r="L293" s="5">
        <f ca="1">IFERROR(__xludf.DUMMYFUNCTION("""COMPUTED_VALUE"""),1)</f>
        <v>1</v>
      </c>
      <c r="M293">
        <f ca="1">IFERROR(__xludf.DUMMYFUNCTION("""COMPUTED_VALUE"""),4)</f>
        <v>4</v>
      </c>
      <c r="N293" s="8"/>
    </row>
    <row r="294" spans="1:14" ht="12.45" hidden="1">
      <c r="A294" t="str">
        <f ca="1">IFERROR(__xludf.DUMMYFUNCTION("""COMPUTED_VALUE"""),"III-3-241")</f>
        <v>III-3-241</v>
      </c>
      <c r="B294" t="str">
        <f ca="1">IFERROR(__xludf.DUMMYFUNCTION("""COMPUTED_VALUE"""),"Кочеватов")</f>
        <v>Кочеватов</v>
      </c>
      <c r="C294" t="str">
        <f ca="1">IFERROR(__xludf.DUMMYFUNCTION("""COMPUTED_VALUE"""),"Иван")</f>
        <v>Иван</v>
      </c>
      <c r="D294" t="str">
        <f ca="1">IFERROR(__xludf.DUMMYFUNCTION("""COMPUTED_VALUE"""),"Школа 246")</f>
        <v>Школа 246</v>
      </c>
      <c r="E294" s="5">
        <f ca="1">IFERROR(__xludf.DUMMYFUNCTION("""COMPUTED_VALUE"""),0)</f>
        <v>0</v>
      </c>
      <c r="F294" s="5">
        <f ca="1">IFERROR(__xludf.DUMMYFUNCTION("""COMPUTED_VALUE"""),2)</f>
        <v>2</v>
      </c>
      <c r="G294" s="5">
        <f ca="1">IFERROR(__xludf.DUMMYFUNCTION("""COMPUTED_VALUE"""),1)</f>
        <v>1</v>
      </c>
      <c r="H294" s="5">
        <f ca="1">IFERROR(__xludf.DUMMYFUNCTION("""COMPUTED_VALUE"""),0)</f>
        <v>0</v>
      </c>
      <c r="I294" s="5">
        <f ca="1">IFERROR(__xludf.DUMMYFUNCTION("""COMPUTED_VALUE"""),0)</f>
        <v>0</v>
      </c>
      <c r="J294" s="5">
        <f ca="1">IFERROR(__xludf.DUMMYFUNCTION("""COMPUTED_VALUE"""),0)</f>
        <v>0</v>
      </c>
      <c r="K294" s="5">
        <f ca="1">IFERROR(__xludf.DUMMYFUNCTION("""COMPUTED_VALUE"""),1)</f>
        <v>1</v>
      </c>
      <c r="L294" s="5">
        <f ca="1">IFERROR(__xludf.DUMMYFUNCTION("""COMPUTED_VALUE"""),0)</f>
        <v>0</v>
      </c>
      <c r="M294">
        <f ca="1">IFERROR(__xludf.DUMMYFUNCTION("""COMPUTED_VALUE"""),4)</f>
        <v>4</v>
      </c>
      <c r="N294" s="8"/>
    </row>
    <row r="295" spans="1:14" ht="12.45" hidden="1">
      <c r="A295" t="str">
        <f ca="1">IFERROR(__xludf.DUMMYFUNCTION("""COMPUTED_VALUE"""),"V-3-380")</f>
        <v>V-3-380</v>
      </c>
      <c r="B295" t="str">
        <f ca="1">IFERROR(__xludf.DUMMYFUNCTION("""COMPUTED_VALUE"""),"Образцова")</f>
        <v>Образцова</v>
      </c>
      <c r="C295" t="str">
        <f ca="1">IFERROR(__xludf.DUMMYFUNCTION("""COMPUTED_VALUE"""),"Виктория")</f>
        <v>Виктория</v>
      </c>
      <c r="D295" t="str">
        <f ca="1">IFERROR(__xludf.DUMMYFUNCTION("""COMPUTED_VALUE"""),"Гимназия 67")</f>
        <v>Гимназия 67</v>
      </c>
      <c r="E295" s="5">
        <f ca="1">IFERROR(__xludf.DUMMYFUNCTION("""COMPUTED_VALUE"""),0)</f>
        <v>0</v>
      </c>
      <c r="F295" s="5">
        <f ca="1">IFERROR(__xludf.DUMMYFUNCTION("""COMPUTED_VALUE"""),2)</f>
        <v>2</v>
      </c>
      <c r="G295" s="5">
        <f ca="1">IFERROR(__xludf.DUMMYFUNCTION("""COMPUTED_VALUE"""),0)</f>
        <v>0</v>
      </c>
      <c r="H295" s="5">
        <f ca="1">IFERROR(__xludf.DUMMYFUNCTION("""COMPUTED_VALUE"""),0)</f>
        <v>0</v>
      </c>
      <c r="I295" s="5">
        <f ca="1">IFERROR(__xludf.DUMMYFUNCTION("""COMPUTED_VALUE"""),0)</f>
        <v>0</v>
      </c>
      <c r="J295" s="5">
        <f ca="1">IFERROR(__xludf.DUMMYFUNCTION("""COMPUTED_VALUE"""),1)</f>
        <v>1</v>
      </c>
      <c r="K295" s="5">
        <f ca="1">IFERROR(__xludf.DUMMYFUNCTION("""COMPUTED_VALUE"""),0)</f>
        <v>0</v>
      </c>
      <c r="L295" s="5">
        <f ca="1">IFERROR(__xludf.DUMMYFUNCTION("""COMPUTED_VALUE"""),1)</f>
        <v>1</v>
      </c>
      <c r="M295">
        <f ca="1">IFERROR(__xludf.DUMMYFUNCTION("""COMPUTED_VALUE"""),4)</f>
        <v>4</v>
      </c>
      <c r="N295" s="8"/>
    </row>
    <row r="296" spans="1:14" ht="12.45" hidden="1">
      <c r="A296" t="str">
        <f ca="1">IFERROR(__xludf.DUMMYFUNCTION("""COMPUTED_VALUE"""),"III-3-243")</f>
        <v>III-3-243</v>
      </c>
      <c r="B296" t="str">
        <f ca="1">IFERROR(__xludf.DUMMYFUNCTION("""COMPUTED_VALUE"""),"Краснопольская")</f>
        <v>Краснопольская</v>
      </c>
      <c r="C296" t="str">
        <f ca="1">IFERROR(__xludf.DUMMYFUNCTION("""COMPUTED_VALUE"""),"Александра")</f>
        <v>Александра</v>
      </c>
      <c r="D296" t="str">
        <f ca="1">IFERROR(__xludf.DUMMYFUNCTION("""COMPUTED_VALUE"""),"Школа 593")</f>
        <v>Школа 593</v>
      </c>
      <c r="E296" s="5">
        <f ca="1">IFERROR(__xludf.DUMMYFUNCTION("""COMPUTED_VALUE"""),0)</f>
        <v>0</v>
      </c>
      <c r="F296" s="5">
        <f ca="1">IFERROR(__xludf.DUMMYFUNCTION("""COMPUTED_VALUE"""),1)</f>
        <v>1</v>
      </c>
      <c r="G296" s="5">
        <f ca="1">IFERROR(__xludf.DUMMYFUNCTION("""COMPUTED_VALUE"""),1)</f>
        <v>1</v>
      </c>
      <c r="H296" s="5">
        <f ca="1">IFERROR(__xludf.DUMMYFUNCTION("""COMPUTED_VALUE"""),2)</f>
        <v>2</v>
      </c>
      <c r="I296" s="5">
        <f ca="1">IFERROR(__xludf.DUMMYFUNCTION("""COMPUTED_VALUE"""),0)</f>
        <v>0</v>
      </c>
      <c r="J296" s="5">
        <f ca="1">IFERROR(__xludf.DUMMYFUNCTION("""COMPUTED_VALUE"""),0)</f>
        <v>0</v>
      </c>
      <c r="K296" s="5">
        <f ca="1">IFERROR(__xludf.DUMMYFUNCTION("""COMPUTED_VALUE"""),0)</f>
        <v>0</v>
      </c>
      <c r="L296" s="5"/>
      <c r="M296">
        <f ca="1">IFERROR(__xludf.DUMMYFUNCTION("""COMPUTED_VALUE"""),4)</f>
        <v>4</v>
      </c>
      <c r="N296" s="8"/>
    </row>
    <row r="297" spans="1:14" ht="12.45" hidden="1">
      <c r="A297" t="str">
        <f ca="1">IFERROR(__xludf.DUMMYFUNCTION("""COMPUTED_VALUE"""),"III-3-125")</f>
        <v>III-3-125</v>
      </c>
      <c r="B297" t="str">
        <f ca="1">IFERROR(__xludf.DUMMYFUNCTION("""COMPUTED_VALUE"""),"Дементьев")</f>
        <v>Дементьев</v>
      </c>
      <c r="C297" t="str">
        <f ca="1">IFERROR(__xludf.DUMMYFUNCTION("""COMPUTED_VALUE"""),"Дмитрий")</f>
        <v>Дмитрий</v>
      </c>
      <c r="D297" t="str">
        <f ca="1">IFERROR(__xludf.DUMMYFUNCTION("""COMPUTED_VALUE"""),"Лицей 344")</f>
        <v>Лицей 344</v>
      </c>
      <c r="E297" s="5">
        <f ca="1">IFERROR(__xludf.DUMMYFUNCTION("""COMPUTED_VALUE"""),1)</f>
        <v>1</v>
      </c>
      <c r="F297" s="5">
        <f ca="1">IFERROR(__xludf.DUMMYFUNCTION("""COMPUTED_VALUE"""),1)</f>
        <v>1</v>
      </c>
      <c r="G297" s="5">
        <f ca="1">IFERROR(__xludf.DUMMYFUNCTION("""COMPUTED_VALUE"""),2)</f>
        <v>2</v>
      </c>
      <c r="H297" s="5">
        <f ca="1">IFERROR(__xludf.DUMMYFUNCTION("""COMPUTED_VALUE"""),0)</f>
        <v>0</v>
      </c>
      <c r="I297" s="5">
        <f ca="1">IFERROR(__xludf.DUMMYFUNCTION("""COMPUTED_VALUE"""),0)</f>
        <v>0</v>
      </c>
      <c r="J297" s="5">
        <f ca="1">IFERROR(__xludf.DUMMYFUNCTION("""COMPUTED_VALUE"""),0)</f>
        <v>0</v>
      </c>
      <c r="K297" s="5">
        <f ca="1">IFERROR(__xludf.DUMMYFUNCTION("""COMPUTED_VALUE"""),0)</f>
        <v>0</v>
      </c>
      <c r="L297" s="5">
        <f ca="1">IFERROR(__xludf.DUMMYFUNCTION("""COMPUTED_VALUE"""),0)</f>
        <v>0</v>
      </c>
      <c r="M297">
        <f ca="1">IFERROR(__xludf.DUMMYFUNCTION("""COMPUTED_VALUE"""),4)</f>
        <v>4</v>
      </c>
      <c r="N297" s="8"/>
    </row>
    <row r="298" spans="1:14" ht="12.45" hidden="1">
      <c r="A298" t="str">
        <f ca="1">IFERROR(__xludf.DUMMYFUNCTION("""COMPUTED_VALUE"""),"III-3-159")</f>
        <v>III-3-159</v>
      </c>
      <c r="B298" t="str">
        <f ca="1">IFERROR(__xludf.DUMMYFUNCTION("""COMPUTED_VALUE"""),"Зарубин")</f>
        <v>Зарубин</v>
      </c>
      <c r="C298" t="str">
        <f ca="1">IFERROR(__xludf.DUMMYFUNCTION("""COMPUTED_VALUE"""),"Иван")</f>
        <v>Иван</v>
      </c>
      <c r="D298" t="str">
        <f ca="1">IFERROR(__xludf.DUMMYFUNCTION("""COMPUTED_VALUE"""),"Школа 328")</f>
        <v>Школа 328</v>
      </c>
      <c r="E298" s="5">
        <f ca="1">IFERROR(__xludf.DUMMYFUNCTION("""COMPUTED_VALUE"""),1)</f>
        <v>1</v>
      </c>
      <c r="F298" s="5">
        <f ca="1">IFERROR(__xludf.DUMMYFUNCTION("""COMPUTED_VALUE"""),0)</f>
        <v>0</v>
      </c>
      <c r="G298" s="5">
        <f ca="1">IFERROR(__xludf.DUMMYFUNCTION("""COMPUTED_VALUE"""),3)</f>
        <v>3</v>
      </c>
      <c r="H298" s="5">
        <f ca="1">IFERROR(__xludf.DUMMYFUNCTION("""COMPUTED_VALUE"""),0)</f>
        <v>0</v>
      </c>
      <c r="I298" s="5">
        <f ca="1">IFERROR(__xludf.DUMMYFUNCTION("""COMPUTED_VALUE"""),0)</f>
        <v>0</v>
      </c>
      <c r="J298" s="5">
        <f ca="1">IFERROR(__xludf.DUMMYFUNCTION("""COMPUTED_VALUE"""),0)</f>
        <v>0</v>
      </c>
      <c r="K298" s="5">
        <f ca="1">IFERROR(__xludf.DUMMYFUNCTION("""COMPUTED_VALUE"""),0)</f>
        <v>0</v>
      </c>
      <c r="L298" s="5">
        <f ca="1">IFERROR(__xludf.DUMMYFUNCTION("""COMPUTED_VALUE"""),0)</f>
        <v>0</v>
      </c>
      <c r="M298">
        <f ca="1">IFERROR(__xludf.DUMMYFUNCTION("""COMPUTED_VALUE"""),4)</f>
        <v>4</v>
      </c>
      <c r="N298" s="8"/>
    </row>
    <row r="299" spans="1:14" ht="12.45" hidden="1">
      <c r="A299" t="str">
        <f ca="1">IFERROR(__xludf.DUMMYFUNCTION("""COMPUTED_VALUE"""),"V-3-443")</f>
        <v>V-3-443</v>
      </c>
      <c r="B299" t="str">
        <f ca="1">IFERROR(__xludf.DUMMYFUNCTION("""COMPUTED_VALUE"""),"Ромашко")</f>
        <v>Ромашко</v>
      </c>
      <c r="C299" t="str">
        <f ca="1">IFERROR(__xludf.DUMMYFUNCTION("""COMPUTED_VALUE"""),"Артем")</f>
        <v>Артем</v>
      </c>
      <c r="D299" t="str">
        <f ca="1">IFERROR(__xludf.DUMMYFUNCTION("""COMPUTED_VALUE"""),"Школа 113")</f>
        <v>Школа 113</v>
      </c>
      <c r="E299" s="5">
        <f ca="1">IFERROR(__xludf.DUMMYFUNCTION("""COMPUTED_VALUE"""),0)</f>
        <v>0</v>
      </c>
      <c r="F299" s="5">
        <f ca="1">IFERROR(__xludf.DUMMYFUNCTION("""COMPUTED_VALUE"""),0)</f>
        <v>0</v>
      </c>
      <c r="G299" s="5">
        <f ca="1">IFERROR(__xludf.DUMMYFUNCTION("""COMPUTED_VALUE"""),0)</f>
        <v>0</v>
      </c>
      <c r="H299" s="5">
        <f ca="1">IFERROR(__xludf.DUMMYFUNCTION("""COMPUTED_VALUE"""),0)</f>
        <v>0</v>
      </c>
      <c r="I299" s="5">
        <f ca="1">IFERROR(__xludf.DUMMYFUNCTION("""COMPUTED_VALUE"""),3)</f>
        <v>3</v>
      </c>
      <c r="J299" s="5">
        <f ca="1">IFERROR(__xludf.DUMMYFUNCTION("""COMPUTED_VALUE"""),0)</f>
        <v>0</v>
      </c>
      <c r="K299" s="5">
        <f ca="1">IFERROR(__xludf.DUMMYFUNCTION("""COMPUTED_VALUE"""),0)</f>
        <v>0</v>
      </c>
      <c r="L299" s="5">
        <f ca="1">IFERROR(__xludf.DUMMYFUNCTION("""COMPUTED_VALUE"""),0)</f>
        <v>0</v>
      </c>
      <c r="M299">
        <f ca="1">IFERROR(__xludf.DUMMYFUNCTION("""COMPUTED_VALUE"""),3)</f>
        <v>3</v>
      </c>
      <c r="N299" s="8"/>
    </row>
    <row r="300" spans="1:14" ht="12.45" hidden="1">
      <c r="A300" t="str">
        <f ca="1">IFERROR(__xludf.DUMMYFUNCTION("""COMPUTED_VALUE"""),"V-3-453")</f>
        <v>V-3-453</v>
      </c>
      <c r="B300" t="str">
        <f ca="1">IFERROR(__xludf.DUMMYFUNCTION("""COMPUTED_VALUE"""),"Сабуров")</f>
        <v>Сабуров</v>
      </c>
      <c r="C300" t="str">
        <f ca="1">IFERROR(__xludf.DUMMYFUNCTION("""COMPUTED_VALUE"""),"Вадим")</f>
        <v>Вадим</v>
      </c>
      <c r="D300" t="str">
        <f ca="1">IFERROR(__xludf.DUMMYFUNCTION("""COMPUTED_VALUE"""),"Гимназия 107")</f>
        <v>Гимназия 107</v>
      </c>
      <c r="E300" s="5">
        <f ca="1">IFERROR(__xludf.DUMMYFUNCTION("""COMPUTED_VALUE"""),1)</f>
        <v>1</v>
      </c>
      <c r="F300" s="5">
        <f ca="1">IFERROR(__xludf.DUMMYFUNCTION("""COMPUTED_VALUE"""),0)</f>
        <v>0</v>
      </c>
      <c r="G300" s="5">
        <f ca="1">IFERROR(__xludf.DUMMYFUNCTION("""COMPUTED_VALUE"""),0)</f>
        <v>0</v>
      </c>
      <c r="H300" s="5">
        <f ca="1">IFERROR(__xludf.DUMMYFUNCTION("""COMPUTED_VALUE"""),0)</f>
        <v>0</v>
      </c>
      <c r="I300" s="5">
        <f ca="1">IFERROR(__xludf.DUMMYFUNCTION("""COMPUTED_VALUE"""),2)</f>
        <v>2</v>
      </c>
      <c r="J300" s="5">
        <f ca="1">IFERROR(__xludf.DUMMYFUNCTION("""COMPUTED_VALUE"""),0)</f>
        <v>0</v>
      </c>
      <c r="K300" s="5">
        <f ca="1">IFERROR(__xludf.DUMMYFUNCTION("""COMPUTED_VALUE"""),0)</f>
        <v>0</v>
      </c>
      <c r="L300" s="5">
        <f ca="1">IFERROR(__xludf.DUMMYFUNCTION("""COMPUTED_VALUE"""),0)</f>
        <v>0</v>
      </c>
      <c r="M300">
        <f ca="1">IFERROR(__xludf.DUMMYFUNCTION("""COMPUTED_VALUE"""),3)</f>
        <v>3</v>
      </c>
      <c r="N300" s="8"/>
    </row>
    <row r="301" spans="1:14" ht="12.45" hidden="1">
      <c r="A301" t="str">
        <f ca="1">IFERROR(__xludf.DUMMYFUNCTION("""COMPUTED_VALUE"""),"III-3-247")</f>
        <v>III-3-247</v>
      </c>
      <c r="B301" t="str">
        <f ca="1">IFERROR(__xludf.DUMMYFUNCTION("""COMPUTED_VALUE"""),"Кривицкая")</f>
        <v>Кривицкая</v>
      </c>
      <c r="C301" t="str">
        <f ca="1">IFERROR(__xludf.DUMMYFUNCTION("""COMPUTED_VALUE"""),"Анастасия")</f>
        <v>Анастасия</v>
      </c>
      <c r="D301" t="str">
        <f ca="1">IFERROR(__xludf.DUMMYFUNCTION("""COMPUTED_VALUE"""),"Школа 454")</f>
        <v>Школа 454</v>
      </c>
      <c r="E301" s="5">
        <f ca="1">IFERROR(__xludf.DUMMYFUNCTION("""COMPUTED_VALUE"""),1)</f>
        <v>1</v>
      </c>
      <c r="F301" s="5">
        <f ca="1">IFERROR(__xludf.DUMMYFUNCTION("""COMPUTED_VALUE"""),0)</f>
        <v>0</v>
      </c>
      <c r="G301" s="5">
        <f ca="1">IFERROR(__xludf.DUMMYFUNCTION("""COMPUTED_VALUE"""),0)</f>
        <v>0</v>
      </c>
      <c r="H301" s="5">
        <f ca="1">IFERROR(__xludf.DUMMYFUNCTION("""COMPUTED_VALUE"""),0)</f>
        <v>0</v>
      </c>
      <c r="I301" s="5">
        <f ca="1">IFERROR(__xludf.DUMMYFUNCTION("""COMPUTED_VALUE"""),2)</f>
        <v>2</v>
      </c>
      <c r="J301" s="5">
        <f ca="1">IFERROR(__xludf.DUMMYFUNCTION("""COMPUTED_VALUE"""),0)</f>
        <v>0</v>
      </c>
      <c r="K301" s="5">
        <f ca="1">IFERROR(__xludf.DUMMYFUNCTION("""COMPUTED_VALUE"""),0)</f>
        <v>0</v>
      </c>
      <c r="L301" s="5">
        <f ca="1">IFERROR(__xludf.DUMMYFUNCTION("""COMPUTED_VALUE"""),0)</f>
        <v>0</v>
      </c>
      <c r="M301">
        <f ca="1">IFERROR(__xludf.DUMMYFUNCTION("""COMPUTED_VALUE"""),3)</f>
        <v>3</v>
      </c>
      <c r="N301" s="8"/>
    </row>
    <row r="302" spans="1:14" ht="12.45" hidden="1">
      <c r="A302" t="str">
        <f ca="1">IFERROR(__xludf.DUMMYFUNCTION("""COMPUTED_VALUE"""),"V-3-342")</f>
        <v>V-3-342</v>
      </c>
      <c r="B302" t="str">
        <f ca="1">IFERROR(__xludf.DUMMYFUNCTION("""COMPUTED_VALUE"""),"Мохнаткин")</f>
        <v>Мохнаткин</v>
      </c>
      <c r="C302" t="str">
        <f ca="1">IFERROR(__xludf.DUMMYFUNCTION("""COMPUTED_VALUE"""),"Михаил")</f>
        <v>Михаил</v>
      </c>
      <c r="D302" t="str">
        <f ca="1">IFERROR(__xludf.DUMMYFUNCTION("""COMPUTED_VALUE"""),"Школа 10")</f>
        <v>Школа 10</v>
      </c>
      <c r="E302" s="5">
        <f ca="1">IFERROR(__xludf.DUMMYFUNCTION("""COMPUTED_VALUE"""),1)</f>
        <v>1</v>
      </c>
      <c r="F302" s="5">
        <f ca="1">IFERROR(__xludf.DUMMYFUNCTION("""COMPUTED_VALUE"""),0)</f>
        <v>0</v>
      </c>
      <c r="G302" s="5">
        <f ca="1">IFERROR(__xludf.DUMMYFUNCTION("""COMPUTED_VALUE"""),0)</f>
        <v>0</v>
      </c>
      <c r="H302" s="5">
        <f ca="1">IFERROR(__xludf.DUMMYFUNCTION("""COMPUTED_VALUE"""),0)</f>
        <v>0</v>
      </c>
      <c r="I302" s="5">
        <f ca="1">IFERROR(__xludf.DUMMYFUNCTION("""COMPUTED_VALUE"""),2)</f>
        <v>2</v>
      </c>
      <c r="J302" s="5">
        <f ca="1">IFERROR(__xludf.DUMMYFUNCTION("""COMPUTED_VALUE"""),0)</f>
        <v>0</v>
      </c>
      <c r="K302" s="5">
        <f ca="1">IFERROR(__xludf.DUMMYFUNCTION("""COMPUTED_VALUE"""),0)</f>
        <v>0</v>
      </c>
      <c r="L302" s="5">
        <f ca="1">IFERROR(__xludf.DUMMYFUNCTION("""COMPUTED_VALUE"""),0)</f>
        <v>0</v>
      </c>
      <c r="M302">
        <f ca="1">IFERROR(__xludf.DUMMYFUNCTION("""COMPUTED_VALUE"""),3)</f>
        <v>3</v>
      </c>
      <c r="N302" s="8"/>
    </row>
    <row r="303" spans="1:14" ht="12.45" hidden="1">
      <c r="A303" t="str">
        <f ca="1">IFERROR(__xludf.DUMMYFUNCTION("""COMPUTED_VALUE"""),"V-3-324")</f>
        <v>V-3-324</v>
      </c>
      <c r="B303" t="str">
        <f ca="1">IFERROR(__xludf.DUMMYFUNCTION("""COMPUTED_VALUE"""),"Мелеева")</f>
        <v>Мелеева</v>
      </c>
      <c r="C303" t="str">
        <f ca="1">IFERROR(__xludf.DUMMYFUNCTION("""COMPUTED_VALUE"""),"Елизавета")</f>
        <v>Елизавета</v>
      </c>
      <c r="D303" t="str">
        <f ca="1">IFERROR(__xludf.DUMMYFUNCTION("""COMPUTED_VALUE"""),"Школа 103")</f>
        <v>Школа 103</v>
      </c>
      <c r="E303" s="5">
        <f ca="1">IFERROR(__xludf.DUMMYFUNCTION("""COMPUTED_VALUE"""),0)</f>
        <v>0</v>
      </c>
      <c r="F303" s="5">
        <f ca="1">IFERROR(__xludf.DUMMYFUNCTION("""COMPUTED_VALUE"""),0)</f>
        <v>0</v>
      </c>
      <c r="G303" s="5">
        <f ca="1">IFERROR(__xludf.DUMMYFUNCTION("""COMPUTED_VALUE"""),0)</f>
        <v>0</v>
      </c>
      <c r="H303" s="5">
        <f ca="1">IFERROR(__xludf.DUMMYFUNCTION("""COMPUTED_VALUE"""),0)</f>
        <v>0</v>
      </c>
      <c r="I303" s="5">
        <f ca="1">IFERROR(__xludf.DUMMYFUNCTION("""COMPUTED_VALUE"""),2)</f>
        <v>2</v>
      </c>
      <c r="J303" s="5">
        <f ca="1">IFERROR(__xludf.DUMMYFUNCTION("""COMPUTED_VALUE"""),0)</f>
        <v>0</v>
      </c>
      <c r="K303" s="5">
        <f ca="1">IFERROR(__xludf.DUMMYFUNCTION("""COMPUTED_VALUE"""),1)</f>
        <v>1</v>
      </c>
      <c r="L303" s="5">
        <f ca="1">IFERROR(__xludf.DUMMYFUNCTION("""COMPUTED_VALUE"""),0)</f>
        <v>0</v>
      </c>
      <c r="M303">
        <f ca="1">IFERROR(__xludf.DUMMYFUNCTION("""COMPUTED_VALUE"""),3)</f>
        <v>3</v>
      </c>
      <c r="N303" s="8"/>
    </row>
    <row r="304" spans="1:14" ht="12.45" hidden="1">
      <c r="A304" t="str">
        <f ca="1">IFERROR(__xludf.DUMMYFUNCTION("""COMPUTED_VALUE"""),"III-3-031")</f>
        <v>III-3-031</v>
      </c>
      <c r="B304" t="str">
        <f ca="1">IFERROR(__xludf.DUMMYFUNCTION("""COMPUTED_VALUE"""),"Баринов")</f>
        <v>Баринов</v>
      </c>
      <c r="C304" t="str">
        <f ca="1">IFERROR(__xludf.DUMMYFUNCTION("""COMPUTED_VALUE"""),"Михаил")</f>
        <v>Михаил</v>
      </c>
      <c r="D304" t="str">
        <f ca="1">IFERROR(__xludf.DUMMYFUNCTION("""COMPUTED_VALUE"""),"Школа 518")</f>
        <v>Школа 518</v>
      </c>
      <c r="E304" s="5">
        <f ca="1">IFERROR(__xludf.DUMMYFUNCTION("""COMPUTED_VALUE"""),0)</f>
        <v>0</v>
      </c>
      <c r="F304" s="5">
        <f ca="1">IFERROR(__xludf.DUMMYFUNCTION("""COMPUTED_VALUE"""),1)</f>
        <v>1</v>
      </c>
      <c r="G304" s="5">
        <f ca="1">IFERROR(__xludf.DUMMYFUNCTION("""COMPUTED_VALUE"""),0)</f>
        <v>0</v>
      </c>
      <c r="H304" s="5">
        <f ca="1">IFERROR(__xludf.DUMMYFUNCTION("""COMPUTED_VALUE"""),0)</f>
        <v>0</v>
      </c>
      <c r="I304" s="5">
        <f ca="1">IFERROR(__xludf.DUMMYFUNCTION("""COMPUTED_VALUE"""),2)</f>
        <v>2</v>
      </c>
      <c r="J304" s="5">
        <f ca="1">IFERROR(__xludf.DUMMYFUNCTION("""COMPUTED_VALUE"""),0)</f>
        <v>0</v>
      </c>
      <c r="K304" s="5">
        <f ca="1">IFERROR(__xludf.DUMMYFUNCTION("""COMPUTED_VALUE"""),0)</f>
        <v>0</v>
      </c>
      <c r="L304" s="5">
        <f ca="1">IFERROR(__xludf.DUMMYFUNCTION("""COMPUTED_VALUE"""),0)</f>
        <v>0</v>
      </c>
      <c r="M304">
        <f ca="1">IFERROR(__xludf.DUMMYFUNCTION("""COMPUTED_VALUE"""),3)</f>
        <v>3</v>
      </c>
      <c r="N304" s="8"/>
    </row>
    <row r="305" spans="1:14" ht="12.45" hidden="1">
      <c r="A305" t="str">
        <f ca="1">IFERROR(__xludf.DUMMYFUNCTION("""COMPUTED_VALUE"""),"V-3-511")</f>
        <v>V-3-511</v>
      </c>
      <c r="B305" t="str">
        <f ca="1">IFERROR(__xludf.DUMMYFUNCTION("""COMPUTED_VALUE"""),"Талыгин")</f>
        <v>Талыгин</v>
      </c>
      <c r="C305" t="str">
        <f ca="1">IFERROR(__xludf.DUMMYFUNCTION("""COMPUTED_VALUE"""),"Олег")</f>
        <v>Олег</v>
      </c>
      <c r="D305" t="str">
        <f ca="1">IFERROR(__xludf.DUMMYFUNCTION("""COMPUTED_VALUE"""),"Лицей 101")</f>
        <v>Лицей 101</v>
      </c>
      <c r="E305" s="5">
        <f ca="1">IFERROR(__xludf.DUMMYFUNCTION("""COMPUTED_VALUE"""),0)</f>
        <v>0</v>
      </c>
      <c r="F305" s="5">
        <f ca="1">IFERROR(__xludf.DUMMYFUNCTION("""COMPUTED_VALUE"""),1)</f>
        <v>1</v>
      </c>
      <c r="G305" s="5">
        <f ca="1">IFERROR(__xludf.DUMMYFUNCTION("""COMPUTED_VALUE"""),0)</f>
        <v>0</v>
      </c>
      <c r="H305" s="5">
        <f ca="1">IFERROR(__xludf.DUMMYFUNCTION("""COMPUTED_VALUE"""),0)</f>
        <v>0</v>
      </c>
      <c r="I305" s="5">
        <f ca="1">IFERROR(__xludf.DUMMYFUNCTION("""COMPUTED_VALUE"""),2)</f>
        <v>2</v>
      </c>
      <c r="J305" s="5">
        <f ca="1">IFERROR(__xludf.DUMMYFUNCTION("""COMPUTED_VALUE"""),0)</f>
        <v>0</v>
      </c>
      <c r="K305" s="5">
        <f ca="1">IFERROR(__xludf.DUMMYFUNCTION("""COMPUTED_VALUE"""),0)</f>
        <v>0</v>
      </c>
      <c r="L305" s="5">
        <f ca="1">IFERROR(__xludf.DUMMYFUNCTION("""COMPUTED_VALUE"""),0)</f>
        <v>0</v>
      </c>
      <c r="M305">
        <f ca="1">IFERROR(__xludf.DUMMYFUNCTION("""COMPUTED_VALUE"""),3)</f>
        <v>3</v>
      </c>
      <c r="N305" s="8"/>
    </row>
    <row r="306" spans="1:14" ht="12.45" hidden="1">
      <c r="A306" t="str">
        <f ca="1">IFERROR(__xludf.DUMMYFUNCTION("""COMPUTED_VALUE"""),"V-3-438")</f>
        <v>V-3-438</v>
      </c>
      <c r="B306" t="str">
        <f ca="1">IFERROR(__xludf.DUMMYFUNCTION("""COMPUTED_VALUE"""),"Рожков")</f>
        <v>Рожков</v>
      </c>
      <c r="C306" t="str">
        <f ca="1">IFERROR(__xludf.DUMMYFUNCTION("""COMPUTED_VALUE"""),"Павел")</f>
        <v>Павел</v>
      </c>
      <c r="D306" t="str">
        <f ca="1">IFERROR(__xludf.DUMMYFUNCTION("""COMPUTED_VALUE"""),"Гимназия 524")</f>
        <v>Гимназия 524</v>
      </c>
      <c r="E306" s="5">
        <f ca="1">IFERROR(__xludf.DUMMYFUNCTION("""COMPUTED_VALUE"""),0)</f>
        <v>0</v>
      </c>
      <c r="F306" s="5">
        <f ca="1">IFERROR(__xludf.DUMMYFUNCTION("""COMPUTED_VALUE"""),0)</f>
        <v>0</v>
      </c>
      <c r="G306" s="5">
        <f ca="1">IFERROR(__xludf.DUMMYFUNCTION("""COMPUTED_VALUE"""),1)</f>
        <v>1</v>
      </c>
      <c r="H306" s="5">
        <f ca="1">IFERROR(__xludf.DUMMYFUNCTION("""COMPUTED_VALUE"""),0)</f>
        <v>0</v>
      </c>
      <c r="I306" s="5">
        <f ca="1">IFERROR(__xludf.DUMMYFUNCTION("""COMPUTED_VALUE"""),2)</f>
        <v>2</v>
      </c>
      <c r="J306" s="5">
        <f ca="1">IFERROR(__xludf.DUMMYFUNCTION("""COMPUTED_VALUE"""),0)</f>
        <v>0</v>
      </c>
      <c r="K306" s="5">
        <f ca="1">IFERROR(__xludf.DUMMYFUNCTION("""COMPUTED_VALUE"""),0)</f>
        <v>0</v>
      </c>
      <c r="L306" s="5">
        <f ca="1">IFERROR(__xludf.DUMMYFUNCTION("""COMPUTED_VALUE"""),0)</f>
        <v>0</v>
      </c>
      <c r="M306">
        <f ca="1">IFERROR(__xludf.DUMMYFUNCTION("""COMPUTED_VALUE"""),3)</f>
        <v>3</v>
      </c>
      <c r="N306" s="8"/>
    </row>
    <row r="307" spans="1:14" ht="12.45" hidden="1">
      <c r="A307" t="str">
        <f ca="1">IFERROR(__xludf.DUMMYFUNCTION("""COMPUTED_VALUE"""),"III-3-066")</f>
        <v>III-3-066</v>
      </c>
      <c r="B307" t="str">
        <f ca="1">IFERROR(__xludf.DUMMYFUNCTION("""COMPUTED_VALUE"""),"Бурмистров")</f>
        <v>Бурмистров</v>
      </c>
      <c r="C307" t="str">
        <f ca="1">IFERROR(__xludf.DUMMYFUNCTION("""COMPUTED_VALUE"""),"Тимофей")</f>
        <v>Тимофей</v>
      </c>
      <c r="D307" t="str">
        <f ca="1">IFERROR(__xludf.DUMMYFUNCTION("""COMPUTED_VALUE"""),"Гимназия 343")</f>
        <v>Гимназия 343</v>
      </c>
      <c r="E307" s="5">
        <f ca="1">IFERROR(__xludf.DUMMYFUNCTION("""COMPUTED_VALUE"""),0)</f>
        <v>0</v>
      </c>
      <c r="F307" s="5">
        <f ca="1">IFERROR(__xludf.DUMMYFUNCTION("""COMPUTED_VALUE"""),0)</f>
        <v>0</v>
      </c>
      <c r="G307" s="5">
        <f ca="1">IFERROR(__xludf.DUMMYFUNCTION("""COMPUTED_VALUE"""),1)</f>
        <v>1</v>
      </c>
      <c r="H307" s="5">
        <f ca="1">IFERROR(__xludf.DUMMYFUNCTION("""COMPUTED_VALUE"""),0)</f>
        <v>0</v>
      </c>
      <c r="I307" s="5">
        <f ca="1">IFERROR(__xludf.DUMMYFUNCTION("""COMPUTED_VALUE"""),2)</f>
        <v>2</v>
      </c>
      <c r="J307" s="5">
        <f ca="1">IFERROR(__xludf.DUMMYFUNCTION("""COMPUTED_VALUE"""),0)</f>
        <v>0</v>
      </c>
      <c r="K307" s="5">
        <f ca="1">IFERROR(__xludf.DUMMYFUNCTION("""COMPUTED_VALUE"""),0)</f>
        <v>0</v>
      </c>
      <c r="L307" s="5">
        <f ca="1">IFERROR(__xludf.DUMMYFUNCTION("""COMPUTED_VALUE"""),0)</f>
        <v>0</v>
      </c>
      <c r="M307">
        <f ca="1">IFERROR(__xludf.DUMMYFUNCTION("""COMPUTED_VALUE"""),3)</f>
        <v>3</v>
      </c>
      <c r="N307" s="8"/>
    </row>
    <row r="308" spans="1:14" ht="12.45" hidden="1">
      <c r="A308" t="str">
        <f ca="1">IFERROR(__xludf.DUMMYFUNCTION("""COMPUTED_VALUE"""),"V-3-584")</f>
        <v>V-3-584</v>
      </c>
      <c r="B308" t="str">
        <f ca="1">IFERROR(__xludf.DUMMYFUNCTION("""COMPUTED_VALUE"""),"Шомахова")</f>
        <v>Шомахова</v>
      </c>
      <c r="C308" t="str">
        <f ca="1">IFERROR(__xludf.DUMMYFUNCTION("""COMPUTED_VALUE"""),"Тинатин")</f>
        <v>Тинатин</v>
      </c>
      <c r="D308" t="str">
        <f ca="1">IFERROR(__xludf.DUMMYFUNCTION("""COMPUTED_VALUE"""),"Школа 225")</f>
        <v>Школа 225</v>
      </c>
      <c r="E308" s="5">
        <f ca="1">IFERROR(__xludf.DUMMYFUNCTION("""COMPUTED_VALUE"""),0)</f>
        <v>0</v>
      </c>
      <c r="F308" s="5">
        <f ca="1">IFERROR(__xludf.DUMMYFUNCTION("""COMPUTED_VALUE"""),0)</f>
        <v>0</v>
      </c>
      <c r="G308" s="5">
        <f ca="1">IFERROR(__xludf.DUMMYFUNCTION("""COMPUTED_VALUE"""),1)</f>
        <v>1</v>
      </c>
      <c r="H308" s="5">
        <f ca="1">IFERROR(__xludf.DUMMYFUNCTION("""COMPUTED_VALUE"""),0)</f>
        <v>0</v>
      </c>
      <c r="I308" s="5">
        <f ca="1">IFERROR(__xludf.DUMMYFUNCTION("""COMPUTED_VALUE"""),2)</f>
        <v>2</v>
      </c>
      <c r="J308" s="5">
        <f ca="1">IFERROR(__xludf.DUMMYFUNCTION("""COMPUTED_VALUE"""),0)</f>
        <v>0</v>
      </c>
      <c r="K308" s="5">
        <f ca="1">IFERROR(__xludf.DUMMYFUNCTION("""COMPUTED_VALUE"""),0)</f>
        <v>0</v>
      </c>
      <c r="L308" s="5">
        <f ca="1">IFERROR(__xludf.DUMMYFUNCTION("""COMPUTED_VALUE"""),0)</f>
        <v>0</v>
      </c>
      <c r="M308">
        <f ca="1">IFERROR(__xludf.DUMMYFUNCTION("""COMPUTED_VALUE"""),3)</f>
        <v>3</v>
      </c>
      <c r="N308" s="8"/>
    </row>
    <row r="309" spans="1:14" ht="12.45" hidden="1">
      <c r="A309" t="str">
        <f ca="1">IFERROR(__xludf.DUMMYFUNCTION("""COMPUTED_VALUE"""),"III-3-254")</f>
        <v>III-3-254</v>
      </c>
      <c r="B309" t="str">
        <f ca="1">IFERROR(__xludf.DUMMYFUNCTION("""COMPUTED_VALUE"""),"Кудряшова")</f>
        <v>Кудряшова</v>
      </c>
      <c r="C309" t="str">
        <f ca="1">IFERROR(__xludf.DUMMYFUNCTION("""COMPUTED_VALUE"""),"Анжелика")</f>
        <v>Анжелика</v>
      </c>
      <c r="D309" t="str">
        <f ca="1">IFERROR(__xludf.DUMMYFUNCTION("""COMPUTED_VALUE"""),"Гимназия 67")</f>
        <v>Гимназия 67</v>
      </c>
      <c r="E309" s="5">
        <f ca="1">IFERROR(__xludf.DUMMYFUNCTION("""COMPUTED_VALUE"""),0)</f>
        <v>0</v>
      </c>
      <c r="F309" s="5">
        <f ca="1">IFERROR(__xludf.DUMMYFUNCTION("""COMPUTED_VALUE"""),0)</f>
        <v>0</v>
      </c>
      <c r="G309" s="5">
        <f ca="1">IFERROR(__xludf.DUMMYFUNCTION("""COMPUTED_VALUE"""),1)</f>
        <v>1</v>
      </c>
      <c r="H309" s="5">
        <f ca="1">IFERROR(__xludf.DUMMYFUNCTION("""COMPUTED_VALUE"""),0)</f>
        <v>0</v>
      </c>
      <c r="I309" s="5">
        <f ca="1">IFERROR(__xludf.DUMMYFUNCTION("""COMPUTED_VALUE"""),2)</f>
        <v>2</v>
      </c>
      <c r="J309" s="5">
        <f ca="1">IFERROR(__xludf.DUMMYFUNCTION("""COMPUTED_VALUE"""),0)</f>
        <v>0</v>
      </c>
      <c r="K309" s="5">
        <f ca="1">IFERROR(__xludf.DUMMYFUNCTION("""COMPUTED_VALUE"""),0)</f>
        <v>0</v>
      </c>
      <c r="L309" s="5">
        <f ca="1">IFERROR(__xludf.DUMMYFUNCTION("""COMPUTED_VALUE"""),0)</f>
        <v>0</v>
      </c>
      <c r="M309">
        <f ca="1">IFERROR(__xludf.DUMMYFUNCTION("""COMPUTED_VALUE"""),3)</f>
        <v>3</v>
      </c>
      <c r="N309" s="8"/>
    </row>
    <row r="310" spans="1:14" ht="12.45" hidden="1">
      <c r="A310" t="str">
        <f ca="1">IFERROR(__xludf.DUMMYFUNCTION("""COMPUTED_VALUE"""),"V-3-482")</f>
        <v>V-3-482</v>
      </c>
      <c r="B310" t="str">
        <f ca="1">IFERROR(__xludf.DUMMYFUNCTION("""COMPUTED_VALUE"""),"Скачков")</f>
        <v>Скачков</v>
      </c>
      <c r="C310" t="str">
        <f ca="1">IFERROR(__xludf.DUMMYFUNCTION("""COMPUTED_VALUE"""),"Никита")</f>
        <v>Никита</v>
      </c>
      <c r="D310" t="str">
        <f ca="1">IFERROR(__xludf.DUMMYFUNCTION("""COMPUTED_VALUE"""),"Школа 327")</f>
        <v>Школа 327</v>
      </c>
      <c r="E310" s="5">
        <f ca="1">IFERROR(__xludf.DUMMYFUNCTION("""COMPUTED_VALUE"""),0)</f>
        <v>0</v>
      </c>
      <c r="F310" s="5">
        <f ca="1">IFERROR(__xludf.DUMMYFUNCTION("""COMPUTED_VALUE"""),2)</f>
        <v>2</v>
      </c>
      <c r="G310" s="5">
        <f ca="1">IFERROR(__xludf.DUMMYFUNCTION("""COMPUTED_VALUE"""),1)</f>
        <v>1</v>
      </c>
      <c r="H310" s="5">
        <f ca="1">IFERROR(__xludf.DUMMYFUNCTION("""COMPUTED_VALUE"""),0)</f>
        <v>0</v>
      </c>
      <c r="I310" s="5">
        <f ca="1">IFERROR(__xludf.DUMMYFUNCTION("""COMPUTED_VALUE"""),0)</f>
        <v>0</v>
      </c>
      <c r="J310" s="5">
        <f ca="1">IFERROR(__xludf.DUMMYFUNCTION("""COMPUTED_VALUE"""),0)</f>
        <v>0</v>
      </c>
      <c r="K310" s="5">
        <f ca="1">IFERROR(__xludf.DUMMYFUNCTION("""COMPUTED_VALUE"""),0)</f>
        <v>0</v>
      </c>
      <c r="L310" s="5">
        <f ca="1">IFERROR(__xludf.DUMMYFUNCTION("""COMPUTED_VALUE"""),0)</f>
        <v>0</v>
      </c>
      <c r="M310">
        <f ca="1">IFERROR(__xludf.DUMMYFUNCTION("""COMPUTED_VALUE"""),3)</f>
        <v>3</v>
      </c>
      <c r="N310" s="8"/>
    </row>
    <row r="311" spans="1:14" ht="12.45" hidden="1">
      <c r="A311" t="str">
        <f ca="1">IFERROR(__xludf.DUMMYFUNCTION("""COMPUTED_VALUE"""),"V-3-563")</f>
        <v>V-3-563</v>
      </c>
      <c r="B311" t="str">
        <f ca="1">IFERROR(__xludf.DUMMYFUNCTION("""COMPUTED_VALUE"""),"Чайченко")</f>
        <v>Чайченко</v>
      </c>
      <c r="C311" t="str">
        <f ca="1">IFERROR(__xludf.DUMMYFUNCTION("""COMPUTED_VALUE"""),"Полина")</f>
        <v>Полина</v>
      </c>
      <c r="D311" t="str">
        <f ca="1">IFERROR(__xludf.DUMMYFUNCTION("""COMPUTED_VALUE"""),"Лицей 470")</f>
        <v>Лицей 470</v>
      </c>
      <c r="E311" s="5">
        <f ca="1">IFERROR(__xludf.DUMMYFUNCTION("""COMPUTED_VALUE"""),0)</f>
        <v>0</v>
      </c>
      <c r="F311" s="5">
        <f ca="1">IFERROR(__xludf.DUMMYFUNCTION("""COMPUTED_VALUE"""),0)</f>
        <v>0</v>
      </c>
      <c r="G311" s="5">
        <f ca="1">IFERROR(__xludf.DUMMYFUNCTION("""COMPUTED_VALUE"""),3)</f>
        <v>3</v>
      </c>
      <c r="H311" s="5">
        <f ca="1">IFERROR(__xludf.DUMMYFUNCTION("""COMPUTED_VALUE"""),0)</f>
        <v>0</v>
      </c>
      <c r="I311" s="5">
        <f ca="1">IFERROR(__xludf.DUMMYFUNCTION("""COMPUTED_VALUE"""),0)</f>
        <v>0</v>
      </c>
      <c r="J311" s="5">
        <f ca="1">IFERROR(__xludf.DUMMYFUNCTION("""COMPUTED_VALUE"""),0)</f>
        <v>0</v>
      </c>
      <c r="K311" s="5">
        <f ca="1">IFERROR(__xludf.DUMMYFUNCTION("""COMPUTED_VALUE"""),0)</f>
        <v>0</v>
      </c>
      <c r="L311" s="5">
        <f ca="1">IFERROR(__xludf.DUMMYFUNCTION("""COMPUTED_VALUE"""),0)</f>
        <v>0</v>
      </c>
      <c r="M311">
        <f ca="1">IFERROR(__xludf.DUMMYFUNCTION("""COMPUTED_VALUE"""),3)</f>
        <v>3</v>
      </c>
      <c r="N311" s="8"/>
    </row>
    <row r="312" spans="1:14" ht="12.45" hidden="1">
      <c r="A312" t="str">
        <f ca="1">IFERROR(__xludf.DUMMYFUNCTION("""COMPUTED_VALUE"""),"V-3-579")</f>
        <v>V-3-579</v>
      </c>
      <c r="B312" t="str">
        <f ca="1">IFERROR(__xludf.DUMMYFUNCTION("""COMPUTED_VALUE"""),"Шарипов")</f>
        <v>Шарипов</v>
      </c>
      <c r="C312" t="str">
        <f ca="1">IFERROR(__xludf.DUMMYFUNCTION("""COMPUTED_VALUE"""),"Илья")</f>
        <v>Илья</v>
      </c>
      <c r="D312" t="str">
        <f ca="1">IFERROR(__xludf.DUMMYFUNCTION("""COMPUTED_VALUE"""),"Лицей 369")</f>
        <v>Лицей 369</v>
      </c>
      <c r="E312" s="5">
        <f ca="1">IFERROR(__xludf.DUMMYFUNCTION("""COMPUTED_VALUE"""),0)</f>
        <v>0</v>
      </c>
      <c r="F312" s="5">
        <f ca="1">IFERROR(__xludf.DUMMYFUNCTION("""COMPUTED_VALUE"""),2)</f>
        <v>2</v>
      </c>
      <c r="G312" s="5">
        <f ca="1">IFERROR(__xludf.DUMMYFUNCTION("""COMPUTED_VALUE"""),0)</f>
        <v>0</v>
      </c>
      <c r="H312" s="5">
        <f ca="1">IFERROR(__xludf.DUMMYFUNCTION("""COMPUTED_VALUE"""),0)</f>
        <v>0</v>
      </c>
      <c r="I312" s="5">
        <f ca="1">IFERROR(__xludf.DUMMYFUNCTION("""COMPUTED_VALUE"""),0)</f>
        <v>0</v>
      </c>
      <c r="J312" s="5">
        <f ca="1">IFERROR(__xludf.DUMMYFUNCTION("""COMPUTED_VALUE"""),1)</f>
        <v>1</v>
      </c>
      <c r="K312" s="5">
        <f ca="1">IFERROR(__xludf.DUMMYFUNCTION("""COMPUTED_VALUE"""),0)</f>
        <v>0</v>
      </c>
      <c r="L312" s="5">
        <f ca="1">IFERROR(__xludf.DUMMYFUNCTION("""COMPUTED_VALUE"""),0)</f>
        <v>0</v>
      </c>
      <c r="M312">
        <f ca="1">IFERROR(__xludf.DUMMYFUNCTION("""COMPUTED_VALUE"""),3)</f>
        <v>3</v>
      </c>
      <c r="N312" s="8"/>
    </row>
    <row r="313" spans="1:14" ht="12.45" hidden="1">
      <c r="A313" t="str">
        <f ca="1">IFERROR(__xludf.DUMMYFUNCTION("""COMPUTED_VALUE"""),"III-3-072")</f>
        <v>III-3-072</v>
      </c>
      <c r="B313" t="str">
        <f ca="1">IFERROR(__xludf.DUMMYFUNCTION("""COMPUTED_VALUE"""),"Васильев")</f>
        <v>Васильев</v>
      </c>
      <c r="C313" t="str">
        <f ca="1">IFERROR(__xludf.DUMMYFUNCTION("""COMPUTED_VALUE"""),"Артём")</f>
        <v>Артём</v>
      </c>
      <c r="D313" t="str">
        <f ca="1">IFERROR(__xludf.DUMMYFUNCTION("""COMPUTED_VALUE"""),"Гимназия 642")</f>
        <v>Гимназия 642</v>
      </c>
      <c r="E313" s="5">
        <f ca="1">IFERROR(__xludf.DUMMYFUNCTION("""COMPUTED_VALUE"""),1)</f>
        <v>1</v>
      </c>
      <c r="F313" s="5">
        <f ca="1">IFERROR(__xludf.DUMMYFUNCTION("""COMPUTED_VALUE"""),1)</f>
        <v>1</v>
      </c>
      <c r="G313" s="5">
        <f ca="1">IFERROR(__xludf.DUMMYFUNCTION("""COMPUTED_VALUE"""),1)</f>
        <v>1</v>
      </c>
      <c r="H313" s="5">
        <f ca="1">IFERROR(__xludf.DUMMYFUNCTION("""COMPUTED_VALUE"""),0)</f>
        <v>0</v>
      </c>
      <c r="I313" s="5">
        <f ca="1">IFERROR(__xludf.DUMMYFUNCTION("""COMPUTED_VALUE"""),0)</f>
        <v>0</v>
      </c>
      <c r="J313" s="5">
        <f ca="1">IFERROR(__xludf.DUMMYFUNCTION("""COMPUTED_VALUE"""),0)</f>
        <v>0</v>
      </c>
      <c r="K313" s="5">
        <f ca="1">IFERROR(__xludf.DUMMYFUNCTION("""COMPUTED_VALUE"""),0)</f>
        <v>0</v>
      </c>
      <c r="L313" s="5">
        <f ca="1">IFERROR(__xludf.DUMMYFUNCTION("""COMPUTED_VALUE"""),0)</f>
        <v>0</v>
      </c>
      <c r="M313">
        <f ca="1">IFERROR(__xludf.DUMMYFUNCTION("""COMPUTED_VALUE"""),3)</f>
        <v>3</v>
      </c>
      <c r="N313" s="8"/>
    </row>
    <row r="314" spans="1:14" ht="12.45" hidden="1">
      <c r="A314" t="str">
        <f ca="1">IFERROR(__xludf.DUMMYFUNCTION("""COMPUTED_VALUE"""),"III-3-022")</f>
        <v>III-3-022</v>
      </c>
      <c r="B314" t="str">
        <f ca="1">IFERROR(__xludf.DUMMYFUNCTION("""COMPUTED_VALUE"""),"Антонова")</f>
        <v>Антонова</v>
      </c>
      <c r="C314" t="str">
        <f ca="1">IFERROR(__xludf.DUMMYFUNCTION("""COMPUTED_VALUE"""),"Наталия")</f>
        <v>Наталия</v>
      </c>
      <c r="D314" t="str">
        <f ca="1">IFERROR(__xludf.DUMMYFUNCTION("""COMPUTED_VALUE"""),"Лицей 329")</f>
        <v>Лицей 329</v>
      </c>
      <c r="E314" s="5">
        <f ca="1">IFERROR(__xludf.DUMMYFUNCTION("""COMPUTED_VALUE"""),0)</f>
        <v>0</v>
      </c>
      <c r="F314" s="5">
        <f ca="1">IFERROR(__xludf.DUMMYFUNCTION("""COMPUTED_VALUE"""),0)</f>
        <v>0</v>
      </c>
      <c r="G314" s="5">
        <f ca="1">IFERROR(__xludf.DUMMYFUNCTION("""COMPUTED_VALUE"""),1)</f>
        <v>1</v>
      </c>
      <c r="H314" s="5">
        <f ca="1">IFERROR(__xludf.DUMMYFUNCTION("""COMPUTED_VALUE"""),0)</f>
        <v>0</v>
      </c>
      <c r="I314" s="5">
        <f ca="1">IFERROR(__xludf.DUMMYFUNCTION("""COMPUTED_VALUE"""),0)</f>
        <v>0</v>
      </c>
      <c r="J314" s="5">
        <f ca="1">IFERROR(__xludf.DUMMYFUNCTION("""COMPUTED_VALUE"""),0)</f>
        <v>0</v>
      </c>
      <c r="K314" s="5">
        <f ca="1">IFERROR(__xludf.DUMMYFUNCTION("""COMPUTED_VALUE"""),0)</f>
        <v>0</v>
      </c>
      <c r="L314" s="5">
        <f ca="1">IFERROR(__xludf.DUMMYFUNCTION("""COMPUTED_VALUE"""),2)</f>
        <v>2</v>
      </c>
      <c r="M314">
        <f ca="1">IFERROR(__xludf.DUMMYFUNCTION("""COMPUTED_VALUE"""),3)</f>
        <v>3</v>
      </c>
      <c r="N314" s="8"/>
    </row>
    <row r="315" spans="1:14" ht="12.45" hidden="1">
      <c r="A315" t="str">
        <f ca="1">IFERROR(__xludf.DUMMYFUNCTION("""COMPUTED_VALUE"""),"V-3-481")</f>
        <v>V-3-481</v>
      </c>
      <c r="B315" t="str">
        <f ca="1">IFERROR(__xludf.DUMMYFUNCTION("""COMPUTED_VALUE"""),"Скакун")</f>
        <v>Скакун</v>
      </c>
      <c r="C315" t="str">
        <f ca="1">IFERROR(__xludf.DUMMYFUNCTION("""COMPUTED_VALUE"""),"Александр")</f>
        <v>Александр</v>
      </c>
      <c r="D315" t="str">
        <f ca="1">IFERROR(__xludf.DUMMYFUNCTION("""COMPUTED_VALUE"""),"Лицей 273")</f>
        <v>Лицей 273</v>
      </c>
      <c r="E315" s="5">
        <f ca="1">IFERROR(__xludf.DUMMYFUNCTION("""COMPUTED_VALUE"""),0)</f>
        <v>0</v>
      </c>
      <c r="F315" s="5">
        <f ca="1">IFERROR(__xludf.DUMMYFUNCTION("""COMPUTED_VALUE"""),2)</f>
        <v>2</v>
      </c>
      <c r="G315" s="5">
        <f ca="1">IFERROR(__xludf.DUMMYFUNCTION("""COMPUTED_VALUE"""),1)</f>
        <v>1</v>
      </c>
      <c r="H315" s="5">
        <f ca="1">IFERROR(__xludf.DUMMYFUNCTION("""COMPUTED_VALUE"""),0)</f>
        <v>0</v>
      </c>
      <c r="I315" s="5">
        <f ca="1">IFERROR(__xludf.DUMMYFUNCTION("""COMPUTED_VALUE"""),0)</f>
        <v>0</v>
      </c>
      <c r="J315" s="5">
        <f ca="1">IFERROR(__xludf.DUMMYFUNCTION("""COMPUTED_VALUE"""),0)</f>
        <v>0</v>
      </c>
      <c r="K315" s="5">
        <f ca="1">IFERROR(__xludf.DUMMYFUNCTION("""COMPUTED_VALUE"""),0)</f>
        <v>0</v>
      </c>
      <c r="L315" s="5">
        <f ca="1">IFERROR(__xludf.DUMMYFUNCTION("""COMPUTED_VALUE"""),0)</f>
        <v>0</v>
      </c>
      <c r="M315">
        <f ca="1">IFERROR(__xludf.DUMMYFUNCTION("""COMPUTED_VALUE"""),3)</f>
        <v>3</v>
      </c>
      <c r="N315" s="8"/>
    </row>
    <row r="316" spans="1:14" ht="12.45" hidden="1">
      <c r="A316" t="str">
        <f ca="1">IFERROR(__xludf.DUMMYFUNCTION("""COMPUTED_VALUE"""),"V-3-326")</f>
        <v>V-3-326</v>
      </c>
      <c r="B316" t="str">
        <f ca="1">IFERROR(__xludf.DUMMYFUNCTION("""COMPUTED_VALUE"""),"Мело Лапшин")</f>
        <v>Мело Лапшин</v>
      </c>
      <c r="C316" t="str">
        <f ca="1">IFERROR(__xludf.DUMMYFUNCTION("""COMPUTED_VALUE"""),"Борислав")</f>
        <v>Борислав</v>
      </c>
      <c r="D316" t="str">
        <f ca="1">IFERROR(__xludf.DUMMYFUNCTION("""COMPUTED_VALUE"""),"Школа 246")</f>
        <v>Школа 246</v>
      </c>
      <c r="E316" s="5">
        <f ca="1">IFERROR(__xludf.DUMMYFUNCTION("""COMPUTED_VALUE"""),0)</f>
        <v>0</v>
      </c>
      <c r="F316" s="5">
        <f ca="1">IFERROR(__xludf.DUMMYFUNCTION("""COMPUTED_VALUE"""),0)</f>
        <v>0</v>
      </c>
      <c r="G316" s="5">
        <f ca="1">IFERROR(__xludf.DUMMYFUNCTION("""COMPUTED_VALUE"""),0)</f>
        <v>0</v>
      </c>
      <c r="H316" s="5">
        <f ca="1">IFERROR(__xludf.DUMMYFUNCTION("""COMPUTED_VALUE"""),0)</f>
        <v>0</v>
      </c>
      <c r="I316" s="5">
        <f ca="1">IFERROR(__xludf.DUMMYFUNCTION("""COMPUTED_VALUE"""),0)</f>
        <v>0</v>
      </c>
      <c r="J316" s="5">
        <f ca="1">IFERROR(__xludf.DUMMYFUNCTION("""COMPUTED_VALUE"""),1)</f>
        <v>1</v>
      </c>
      <c r="K316" s="5">
        <f ca="1">IFERROR(__xludf.DUMMYFUNCTION("""COMPUTED_VALUE"""),1)</f>
        <v>1</v>
      </c>
      <c r="L316" s="5">
        <f ca="1">IFERROR(__xludf.DUMMYFUNCTION("""COMPUTED_VALUE"""),1)</f>
        <v>1</v>
      </c>
      <c r="M316">
        <f ca="1">IFERROR(__xludf.DUMMYFUNCTION("""COMPUTED_VALUE"""),3)</f>
        <v>3</v>
      </c>
      <c r="N316" s="8"/>
    </row>
    <row r="317" spans="1:14" ht="12.45" hidden="1">
      <c r="A317" t="str">
        <f ca="1">IFERROR(__xludf.DUMMYFUNCTION("""COMPUTED_VALUE"""),"III-3-012")</f>
        <v>III-3-012</v>
      </c>
      <c r="B317" t="str">
        <f ca="1">IFERROR(__xludf.DUMMYFUNCTION("""COMPUTED_VALUE"""),"Алюхин")</f>
        <v>Алюхин</v>
      </c>
      <c r="C317" t="str">
        <f ca="1">IFERROR(__xludf.DUMMYFUNCTION("""COMPUTED_VALUE"""),"Владимир")</f>
        <v>Владимир</v>
      </c>
      <c r="D317" t="str">
        <f ca="1">IFERROR(__xludf.DUMMYFUNCTION("""COMPUTED_VALUE"""),"Школа 300")</f>
        <v>Школа 300</v>
      </c>
      <c r="E317" s="5">
        <f ca="1">IFERROR(__xludf.DUMMYFUNCTION("""COMPUTED_VALUE"""),0)</f>
        <v>0</v>
      </c>
      <c r="F317" s="5">
        <f ca="1">IFERROR(__xludf.DUMMYFUNCTION("""COMPUTED_VALUE"""),2)</f>
        <v>2</v>
      </c>
      <c r="G317" s="5">
        <f ca="1">IFERROR(__xludf.DUMMYFUNCTION("""COMPUTED_VALUE"""),1)</f>
        <v>1</v>
      </c>
      <c r="H317" s="5">
        <f ca="1">IFERROR(__xludf.DUMMYFUNCTION("""COMPUTED_VALUE"""),0)</f>
        <v>0</v>
      </c>
      <c r="I317" s="5">
        <f ca="1">IFERROR(__xludf.DUMMYFUNCTION("""COMPUTED_VALUE"""),0)</f>
        <v>0</v>
      </c>
      <c r="J317" s="5">
        <f ca="1">IFERROR(__xludf.DUMMYFUNCTION("""COMPUTED_VALUE"""),0)</f>
        <v>0</v>
      </c>
      <c r="K317" s="5">
        <f ca="1">IFERROR(__xludf.DUMMYFUNCTION("""COMPUTED_VALUE"""),0)</f>
        <v>0</v>
      </c>
      <c r="L317" s="5">
        <f ca="1">IFERROR(__xludf.DUMMYFUNCTION("""COMPUTED_VALUE"""),0)</f>
        <v>0</v>
      </c>
      <c r="M317">
        <f ca="1">IFERROR(__xludf.DUMMYFUNCTION("""COMPUTED_VALUE"""),3)</f>
        <v>3</v>
      </c>
      <c r="N317" s="8"/>
    </row>
    <row r="318" spans="1:14" ht="12.45" hidden="1">
      <c r="A318" t="str">
        <f ca="1">IFERROR(__xludf.DUMMYFUNCTION("""COMPUTED_VALUE"""),"V-3-309")</f>
        <v>V-3-309</v>
      </c>
      <c r="B318" t="str">
        <f ca="1">IFERROR(__xludf.DUMMYFUNCTION("""COMPUTED_VALUE"""),"Макарова")</f>
        <v>Макарова</v>
      </c>
      <c r="C318" t="str">
        <f ca="1">IFERROR(__xludf.DUMMYFUNCTION("""COMPUTED_VALUE"""),"Ксения")</f>
        <v>Ксения</v>
      </c>
      <c r="D318" t="str">
        <f ca="1">IFERROR(__xludf.DUMMYFUNCTION("""COMPUTED_VALUE"""),"Лицей 470")</f>
        <v>Лицей 470</v>
      </c>
      <c r="E318" s="5">
        <f ca="1">IFERROR(__xludf.DUMMYFUNCTION("""COMPUTED_VALUE"""),1)</f>
        <v>1</v>
      </c>
      <c r="F318" s="5">
        <f ca="1">IFERROR(__xludf.DUMMYFUNCTION("""COMPUTED_VALUE"""),0)</f>
        <v>0</v>
      </c>
      <c r="G318" s="5">
        <f ca="1">IFERROR(__xludf.DUMMYFUNCTION("""COMPUTED_VALUE"""),0)</f>
        <v>0</v>
      </c>
      <c r="H318" s="5">
        <f ca="1">IFERROR(__xludf.DUMMYFUNCTION("""COMPUTED_VALUE"""),0)</f>
        <v>0</v>
      </c>
      <c r="I318" s="5">
        <f ca="1">IFERROR(__xludf.DUMMYFUNCTION("""COMPUTED_VALUE"""),0)</f>
        <v>0</v>
      </c>
      <c r="J318" s="5">
        <f ca="1">IFERROR(__xludf.DUMMYFUNCTION("""COMPUTED_VALUE"""),1)</f>
        <v>1</v>
      </c>
      <c r="K318" s="5">
        <f ca="1">IFERROR(__xludf.DUMMYFUNCTION("""COMPUTED_VALUE"""),1)</f>
        <v>1</v>
      </c>
      <c r="L318" s="5">
        <f ca="1">IFERROR(__xludf.DUMMYFUNCTION("""COMPUTED_VALUE"""),0)</f>
        <v>0</v>
      </c>
      <c r="M318">
        <f ca="1">IFERROR(__xludf.DUMMYFUNCTION("""COMPUTED_VALUE"""),3)</f>
        <v>3</v>
      </c>
      <c r="N318" s="8"/>
    </row>
    <row r="319" spans="1:14" ht="12.45" hidden="1">
      <c r="A319" t="str">
        <f ca="1">IFERROR(__xludf.DUMMYFUNCTION("""COMPUTED_VALUE"""),"V-3-549")</f>
        <v>V-3-549</v>
      </c>
      <c r="B319" t="str">
        <f ca="1">IFERROR(__xludf.DUMMYFUNCTION("""COMPUTED_VALUE"""),"Фонарев")</f>
        <v>Фонарев</v>
      </c>
      <c r="C319" t="str">
        <f ca="1">IFERROR(__xludf.DUMMYFUNCTION("""COMPUTED_VALUE"""),"Тимофей")</f>
        <v>Тимофей</v>
      </c>
      <c r="D319" t="str">
        <f ca="1">IFERROR(__xludf.DUMMYFUNCTION("""COMPUTED_VALUE"""),"Гимназия Академическая гимназия 56 Санкт-Петербурга")</f>
        <v>Гимназия Академическая гимназия 56 Санкт-Петербурга</v>
      </c>
      <c r="E319" s="5">
        <f ca="1">IFERROR(__xludf.DUMMYFUNCTION("""COMPUTED_VALUE"""),1)</f>
        <v>1</v>
      </c>
      <c r="F319" s="5">
        <f ca="1">IFERROR(__xludf.DUMMYFUNCTION("""COMPUTED_VALUE"""),0)</f>
        <v>0</v>
      </c>
      <c r="G319" s="5">
        <f ca="1">IFERROR(__xludf.DUMMYFUNCTION("""COMPUTED_VALUE"""),1)</f>
        <v>1</v>
      </c>
      <c r="H319" s="5">
        <f ca="1">IFERROR(__xludf.DUMMYFUNCTION("""COMPUTED_VALUE"""),0)</f>
        <v>0</v>
      </c>
      <c r="I319" s="5">
        <f ca="1">IFERROR(__xludf.DUMMYFUNCTION("""COMPUTED_VALUE"""),0)</f>
        <v>0</v>
      </c>
      <c r="J319" s="5">
        <f ca="1">IFERROR(__xludf.DUMMYFUNCTION("""COMPUTED_VALUE"""),0)</f>
        <v>0</v>
      </c>
      <c r="K319" s="5">
        <f ca="1">IFERROR(__xludf.DUMMYFUNCTION("""COMPUTED_VALUE"""),1)</f>
        <v>1</v>
      </c>
      <c r="L319" s="5">
        <f ca="1">IFERROR(__xludf.DUMMYFUNCTION("""COMPUTED_VALUE"""),0)</f>
        <v>0</v>
      </c>
      <c r="M319">
        <f ca="1">IFERROR(__xludf.DUMMYFUNCTION("""COMPUTED_VALUE"""),3)</f>
        <v>3</v>
      </c>
      <c r="N319" s="8"/>
    </row>
    <row r="320" spans="1:14" ht="12.45" hidden="1">
      <c r="A320" t="str">
        <f ca="1">IFERROR(__xludf.DUMMYFUNCTION("""COMPUTED_VALUE"""),"V-3-538")</f>
        <v>V-3-538</v>
      </c>
      <c r="B320" t="str">
        <f ca="1">IFERROR(__xludf.DUMMYFUNCTION("""COMPUTED_VALUE"""),"Ухина")</f>
        <v>Ухина</v>
      </c>
      <c r="C320" t="str">
        <f ca="1">IFERROR(__xludf.DUMMYFUNCTION("""COMPUTED_VALUE"""),"Светлана")</f>
        <v>Светлана</v>
      </c>
      <c r="D320" t="str">
        <f ca="1">IFERROR(__xludf.DUMMYFUNCTION("""COMPUTED_VALUE"""),"Гимназия Гимназия 44 им. Деева В.Н.")</f>
        <v>Гимназия Гимназия 44 им. Деева В.Н.</v>
      </c>
      <c r="E320" s="5">
        <f ca="1">IFERROR(__xludf.DUMMYFUNCTION("""COMPUTED_VALUE"""),0)</f>
        <v>0</v>
      </c>
      <c r="F320" s="5">
        <f ca="1">IFERROR(__xludf.DUMMYFUNCTION("""COMPUTED_VALUE"""),1)</f>
        <v>1</v>
      </c>
      <c r="G320" s="5">
        <f ca="1">IFERROR(__xludf.DUMMYFUNCTION("""COMPUTED_VALUE"""),1)</f>
        <v>1</v>
      </c>
      <c r="H320" s="5">
        <f ca="1">IFERROR(__xludf.DUMMYFUNCTION("""COMPUTED_VALUE"""),0)</f>
        <v>0</v>
      </c>
      <c r="I320" s="5">
        <f ca="1">IFERROR(__xludf.DUMMYFUNCTION("""COMPUTED_VALUE"""),0)</f>
        <v>0</v>
      </c>
      <c r="J320" s="5">
        <f ca="1">IFERROR(__xludf.DUMMYFUNCTION("""COMPUTED_VALUE"""),0)</f>
        <v>0</v>
      </c>
      <c r="K320" s="5">
        <f ca="1">IFERROR(__xludf.DUMMYFUNCTION("""COMPUTED_VALUE"""),1)</f>
        <v>1</v>
      </c>
      <c r="L320" s="5">
        <f ca="1">IFERROR(__xludf.DUMMYFUNCTION("""COMPUTED_VALUE"""),0)</f>
        <v>0</v>
      </c>
      <c r="M320">
        <f ca="1">IFERROR(__xludf.DUMMYFUNCTION("""COMPUTED_VALUE"""),3)</f>
        <v>3</v>
      </c>
      <c r="N320" s="8"/>
    </row>
    <row r="321" spans="1:14" ht="12.45" hidden="1">
      <c r="A321" t="str">
        <f ca="1">IFERROR(__xludf.DUMMYFUNCTION("""COMPUTED_VALUE"""),"III-3-042")</f>
        <v>III-3-042</v>
      </c>
      <c r="B321" t="str">
        <f ca="1">IFERROR(__xludf.DUMMYFUNCTION("""COMPUTED_VALUE"""),"Белогаева")</f>
        <v>Белогаева</v>
      </c>
      <c r="C321" t="str">
        <f ca="1">IFERROR(__xludf.DUMMYFUNCTION("""COMPUTED_VALUE"""),"Таис")</f>
        <v>Таис</v>
      </c>
      <c r="D321" t="str">
        <f ca="1">IFERROR(__xludf.DUMMYFUNCTION("""COMPUTED_VALUE"""),"Школа 481")</f>
        <v>Школа 481</v>
      </c>
      <c r="E321" s="5">
        <f ca="1">IFERROR(__xludf.DUMMYFUNCTION("""COMPUTED_VALUE"""),1)</f>
        <v>1</v>
      </c>
      <c r="F321" s="5">
        <f ca="1">IFERROR(__xludf.DUMMYFUNCTION("""COMPUTED_VALUE"""),0)</f>
        <v>0</v>
      </c>
      <c r="G321" s="5">
        <f ca="1">IFERROR(__xludf.DUMMYFUNCTION("""COMPUTED_VALUE"""),1)</f>
        <v>1</v>
      </c>
      <c r="H321" s="5">
        <f ca="1">IFERROR(__xludf.DUMMYFUNCTION("""COMPUTED_VALUE"""),0)</f>
        <v>0</v>
      </c>
      <c r="I321" s="5">
        <f ca="1">IFERROR(__xludf.DUMMYFUNCTION("""COMPUTED_VALUE"""),0)</f>
        <v>0</v>
      </c>
      <c r="J321" s="5">
        <f ca="1">IFERROR(__xludf.DUMMYFUNCTION("""COMPUTED_VALUE"""),0)</f>
        <v>0</v>
      </c>
      <c r="K321" s="5">
        <f ca="1">IFERROR(__xludf.DUMMYFUNCTION("""COMPUTED_VALUE"""),0)</f>
        <v>0</v>
      </c>
      <c r="L321" s="5">
        <f ca="1">IFERROR(__xludf.DUMMYFUNCTION("""COMPUTED_VALUE"""),1)</f>
        <v>1</v>
      </c>
      <c r="M321">
        <f ca="1">IFERROR(__xludf.DUMMYFUNCTION("""COMPUTED_VALUE"""),3)</f>
        <v>3</v>
      </c>
      <c r="N321" s="8"/>
    </row>
    <row r="322" spans="1:14" ht="12.45" hidden="1">
      <c r="A322" t="str">
        <f ca="1">IFERROR(__xludf.DUMMYFUNCTION("""COMPUTED_VALUE"""),"V-3-468")</f>
        <v>V-3-468</v>
      </c>
      <c r="B322" t="str">
        <f ca="1">IFERROR(__xludf.DUMMYFUNCTION("""COMPUTED_VALUE"""),"Семенова")</f>
        <v>Семенова</v>
      </c>
      <c r="C322" t="str">
        <f ca="1">IFERROR(__xludf.DUMMYFUNCTION("""COMPUTED_VALUE"""),"Мария")</f>
        <v>Мария</v>
      </c>
      <c r="D322" t="str">
        <f ca="1">IFERROR(__xludf.DUMMYFUNCTION("""COMPUTED_VALUE"""),"Школа 481")</f>
        <v>Школа 481</v>
      </c>
      <c r="E322" s="5">
        <f ca="1">IFERROR(__xludf.DUMMYFUNCTION("""COMPUTED_VALUE"""),0)</f>
        <v>0</v>
      </c>
      <c r="F322" s="5">
        <f ca="1">IFERROR(__xludf.DUMMYFUNCTION("""COMPUTED_VALUE"""),0)</f>
        <v>0</v>
      </c>
      <c r="G322" s="5">
        <f ca="1">IFERROR(__xludf.DUMMYFUNCTION("""COMPUTED_VALUE"""),1)</f>
        <v>1</v>
      </c>
      <c r="H322" s="5">
        <f ca="1">IFERROR(__xludf.DUMMYFUNCTION("""COMPUTED_VALUE"""),0)</f>
        <v>0</v>
      </c>
      <c r="I322" s="5">
        <f ca="1">IFERROR(__xludf.DUMMYFUNCTION("""COMPUTED_VALUE"""),0)</f>
        <v>0</v>
      </c>
      <c r="J322" s="5">
        <f ca="1">IFERROR(__xludf.DUMMYFUNCTION("""COMPUTED_VALUE"""),0)</f>
        <v>0</v>
      </c>
      <c r="K322" s="5">
        <f ca="1">IFERROR(__xludf.DUMMYFUNCTION("""COMPUTED_VALUE"""),1)</f>
        <v>1</v>
      </c>
      <c r="L322" s="5">
        <f ca="1">IFERROR(__xludf.DUMMYFUNCTION("""COMPUTED_VALUE"""),1)</f>
        <v>1</v>
      </c>
      <c r="M322">
        <f ca="1">IFERROR(__xludf.DUMMYFUNCTION("""COMPUTED_VALUE"""),3)</f>
        <v>3</v>
      </c>
      <c r="N322" s="8"/>
    </row>
    <row r="323" spans="1:14" ht="12.45" hidden="1">
      <c r="A323" t="str">
        <f ca="1">IFERROR(__xludf.DUMMYFUNCTION("""COMPUTED_VALUE"""),"III-3-141")</f>
        <v>III-3-141</v>
      </c>
      <c r="B323" t="str">
        <f ca="1">IFERROR(__xludf.DUMMYFUNCTION("""COMPUTED_VALUE"""),"Емельянов")</f>
        <v>Емельянов</v>
      </c>
      <c r="C323" t="str">
        <f ca="1">IFERROR(__xludf.DUMMYFUNCTION("""COMPUTED_VALUE"""),"Василий")</f>
        <v>Василий</v>
      </c>
      <c r="D323" t="str">
        <f ca="1">IFERROR(__xludf.DUMMYFUNCTION("""COMPUTED_VALUE"""),"Школа 368")</f>
        <v>Школа 368</v>
      </c>
      <c r="E323" s="5">
        <f ca="1">IFERROR(__xludf.DUMMYFUNCTION("""COMPUTED_VALUE"""),0)</f>
        <v>0</v>
      </c>
      <c r="F323" s="5">
        <f ca="1">IFERROR(__xludf.DUMMYFUNCTION("""COMPUTED_VALUE"""),2)</f>
        <v>2</v>
      </c>
      <c r="G323" s="5">
        <f ca="1">IFERROR(__xludf.DUMMYFUNCTION("""COMPUTED_VALUE"""),1)</f>
        <v>1</v>
      </c>
      <c r="H323" s="5">
        <f ca="1">IFERROR(__xludf.DUMMYFUNCTION("""COMPUTED_VALUE"""),0)</f>
        <v>0</v>
      </c>
      <c r="I323" s="5">
        <f ca="1">IFERROR(__xludf.DUMMYFUNCTION("""COMPUTED_VALUE"""),0)</f>
        <v>0</v>
      </c>
      <c r="J323" s="5">
        <f ca="1">IFERROR(__xludf.DUMMYFUNCTION("""COMPUTED_VALUE"""),0)</f>
        <v>0</v>
      </c>
      <c r="K323" s="5">
        <f ca="1">IFERROR(__xludf.DUMMYFUNCTION("""COMPUTED_VALUE"""),0)</f>
        <v>0</v>
      </c>
      <c r="L323" s="5">
        <f ca="1">IFERROR(__xludf.DUMMYFUNCTION("""COMPUTED_VALUE"""),0)</f>
        <v>0</v>
      </c>
      <c r="M323">
        <f ca="1">IFERROR(__xludf.DUMMYFUNCTION("""COMPUTED_VALUE"""),3)</f>
        <v>3</v>
      </c>
      <c r="N323" s="8"/>
    </row>
    <row r="324" spans="1:14" ht="12.45" hidden="1">
      <c r="A324" t="str">
        <f ca="1">IFERROR(__xludf.DUMMYFUNCTION("""COMPUTED_VALUE"""),"III-3-186")</f>
        <v>III-3-186</v>
      </c>
      <c r="B324" t="str">
        <f ca="1">IFERROR(__xludf.DUMMYFUNCTION("""COMPUTED_VALUE"""),"Искандяров")</f>
        <v>Искандяров</v>
      </c>
      <c r="C324" t="str">
        <f ca="1">IFERROR(__xludf.DUMMYFUNCTION("""COMPUTED_VALUE"""),"Владислав")</f>
        <v>Владислав</v>
      </c>
      <c r="D324" t="str">
        <f ca="1">IFERROR(__xludf.DUMMYFUNCTION("""COMPUTED_VALUE"""),"Гимназия 628")</f>
        <v>Гимназия 628</v>
      </c>
      <c r="E324" s="5">
        <f ca="1">IFERROR(__xludf.DUMMYFUNCTION("""COMPUTED_VALUE"""),0)</f>
        <v>0</v>
      </c>
      <c r="F324" s="5">
        <f ca="1">IFERROR(__xludf.DUMMYFUNCTION("""COMPUTED_VALUE"""),1)</f>
        <v>1</v>
      </c>
      <c r="G324" s="5">
        <f ca="1">IFERROR(__xludf.DUMMYFUNCTION("""COMPUTED_VALUE"""),1)</f>
        <v>1</v>
      </c>
      <c r="H324" s="5">
        <f ca="1">IFERROR(__xludf.DUMMYFUNCTION("""COMPUTED_VALUE"""),0)</f>
        <v>0</v>
      </c>
      <c r="I324" s="5">
        <f ca="1">IFERROR(__xludf.DUMMYFUNCTION("""COMPUTED_VALUE"""),0)</f>
        <v>0</v>
      </c>
      <c r="J324" s="5">
        <f ca="1">IFERROR(__xludf.DUMMYFUNCTION("""COMPUTED_VALUE"""),0)</f>
        <v>0</v>
      </c>
      <c r="K324" s="5">
        <f ca="1">IFERROR(__xludf.DUMMYFUNCTION("""COMPUTED_VALUE"""),1)</f>
        <v>1</v>
      </c>
      <c r="L324" s="5">
        <f ca="1">IFERROR(__xludf.DUMMYFUNCTION("""COMPUTED_VALUE"""),0)</f>
        <v>0</v>
      </c>
      <c r="M324">
        <f ca="1">IFERROR(__xludf.DUMMYFUNCTION("""COMPUTED_VALUE"""),3)</f>
        <v>3</v>
      </c>
      <c r="N324" s="8"/>
    </row>
    <row r="325" spans="1:14" ht="12.45" hidden="1">
      <c r="A325" t="str">
        <f ca="1">IFERROR(__xludf.DUMMYFUNCTION("""COMPUTED_VALUE"""),"V-3-383")</f>
        <v>V-3-383</v>
      </c>
      <c r="B325" t="str">
        <f ca="1">IFERROR(__xludf.DUMMYFUNCTION("""COMPUTED_VALUE"""),"Оганян")</f>
        <v>Оганян</v>
      </c>
      <c r="C325" t="str">
        <f ca="1">IFERROR(__xludf.DUMMYFUNCTION("""COMPUTED_VALUE"""),"Мария")</f>
        <v>Мария</v>
      </c>
      <c r="D325" t="str">
        <f ca="1">IFERROR(__xludf.DUMMYFUNCTION("""COMPUTED_VALUE"""),"Гимназия 24 гимназия имени И.А.Крылова")</f>
        <v>Гимназия 24 гимназия имени И.А.Крылова</v>
      </c>
      <c r="E325" s="5">
        <f ca="1">IFERROR(__xludf.DUMMYFUNCTION("""COMPUTED_VALUE"""),1)</f>
        <v>1</v>
      </c>
      <c r="F325" s="5">
        <f ca="1">IFERROR(__xludf.DUMMYFUNCTION("""COMPUTED_VALUE"""),0)</f>
        <v>0</v>
      </c>
      <c r="G325" s="5">
        <f ca="1">IFERROR(__xludf.DUMMYFUNCTION("""COMPUTED_VALUE"""),1)</f>
        <v>1</v>
      </c>
      <c r="H325" s="5">
        <f ca="1">IFERROR(__xludf.DUMMYFUNCTION("""COMPUTED_VALUE"""),0)</f>
        <v>0</v>
      </c>
      <c r="I325" s="5">
        <f ca="1">IFERROR(__xludf.DUMMYFUNCTION("""COMPUTED_VALUE"""),0)</f>
        <v>0</v>
      </c>
      <c r="J325" s="5">
        <f ca="1">IFERROR(__xludf.DUMMYFUNCTION("""COMPUTED_VALUE"""),0)</f>
        <v>0</v>
      </c>
      <c r="K325" s="5">
        <f ca="1">IFERROR(__xludf.DUMMYFUNCTION("""COMPUTED_VALUE"""),1)</f>
        <v>1</v>
      </c>
      <c r="L325" s="5">
        <f ca="1">IFERROR(__xludf.DUMMYFUNCTION("""COMPUTED_VALUE"""),0)</f>
        <v>0</v>
      </c>
      <c r="M325">
        <f ca="1">IFERROR(__xludf.DUMMYFUNCTION("""COMPUTED_VALUE"""),3)</f>
        <v>3</v>
      </c>
      <c r="N325" s="8"/>
    </row>
    <row r="326" spans="1:14" ht="12.45" hidden="1">
      <c r="A326" t="str">
        <f ca="1">IFERROR(__xludf.DUMMYFUNCTION("""COMPUTED_VALUE"""),"III-3-090")</f>
        <v>III-3-090</v>
      </c>
      <c r="B326" t="str">
        <f ca="1">IFERROR(__xludf.DUMMYFUNCTION("""COMPUTED_VALUE"""),"Воробьев")</f>
        <v>Воробьев</v>
      </c>
      <c r="C326" t="str">
        <f ca="1">IFERROR(__xludf.DUMMYFUNCTION("""COMPUTED_VALUE"""),"Егор")</f>
        <v>Егор</v>
      </c>
      <c r="D326" t="str">
        <f ca="1">IFERROR(__xludf.DUMMYFUNCTION("""COMPUTED_VALUE"""),"Школа 489")</f>
        <v>Школа 489</v>
      </c>
      <c r="E326" s="5">
        <f ca="1">IFERROR(__xludf.DUMMYFUNCTION("""COMPUTED_VALUE"""),0)</f>
        <v>0</v>
      </c>
      <c r="F326" s="5">
        <f ca="1">IFERROR(__xludf.DUMMYFUNCTION("""COMPUTED_VALUE"""),1)</f>
        <v>1</v>
      </c>
      <c r="G326" s="5">
        <f ca="1">IFERROR(__xludf.DUMMYFUNCTION("""COMPUTED_VALUE"""),1)</f>
        <v>1</v>
      </c>
      <c r="H326" s="5">
        <f ca="1">IFERROR(__xludf.DUMMYFUNCTION("""COMPUTED_VALUE"""),0)</f>
        <v>0</v>
      </c>
      <c r="I326" s="5">
        <f ca="1">IFERROR(__xludf.DUMMYFUNCTION("""COMPUTED_VALUE"""),0)</f>
        <v>0</v>
      </c>
      <c r="J326" s="5">
        <f ca="1">IFERROR(__xludf.DUMMYFUNCTION("""COMPUTED_VALUE"""),0)</f>
        <v>0</v>
      </c>
      <c r="K326" s="5">
        <f ca="1">IFERROR(__xludf.DUMMYFUNCTION("""COMPUTED_VALUE"""),1)</f>
        <v>1</v>
      </c>
      <c r="L326" s="5">
        <f ca="1">IFERROR(__xludf.DUMMYFUNCTION("""COMPUTED_VALUE"""),0)</f>
        <v>0</v>
      </c>
      <c r="M326">
        <f ca="1">IFERROR(__xludf.DUMMYFUNCTION("""COMPUTED_VALUE"""),3)</f>
        <v>3</v>
      </c>
      <c r="N326" s="8"/>
    </row>
    <row r="327" spans="1:14" ht="12.45" hidden="1">
      <c r="A327" t="str">
        <f ca="1">IFERROR(__xludf.DUMMYFUNCTION("""COMPUTED_VALUE"""),"III-3-107")</f>
        <v>III-3-107</v>
      </c>
      <c r="B327" t="str">
        <f ca="1">IFERROR(__xludf.DUMMYFUNCTION("""COMPUTED_VALUE"""),"Голубев")</f>
        <v>Голубев</v>
      </c>
      <c r="C327" t="str">
        <f ca="1">IFERROR(__xludf.DUMMYFUNCTION("""COMPUTED_VALUE"""),"Михаил")</f>
        <v>Михаил</v>
      </c>
      <c r="D327" t="str">
        <f ca="1">IFERROR(__xludf.DUMMYFUNCTION("""COMPUTED_VALUE"""),"Школа 23")</f>
        <v>Школа 23</v>
      </c>
      <c r="E327" s="5">
        <f ca="1">IFERROR(__xludf.DUMMYFUNCTION("""COMPUTED_VALUE"""),1)</f>
        <v>1</v>
      </c>
      <c r="F327" s="5">
        <f ca="1">IFERROR(__xludf.DUMMYFUNCTION("""COMPUTED_VALUE"""),1)</f>
        <v>1</v>
      </c>
      <c r="G327" s="5">
        <f ca="1">IFERROR(__xludf.DUMMYFUNCTION("""COMPUTED_VALUE"""),1)</f>
        <v>1</v>
      </c>
      <c r="H327" s="5">
        <f ca="1">IFERROR(__xludf.DUMMYFUNCTION("""COMPUTED_VALUE"""),0)</f>
        <v>0</v>
      </c>
      <c r="I327" s="5">
        <f ca="1">IFERROR(__xludf.DUMMYFUNCTION("""COMPUTED_VALUE"""),0)</f>
        <v>0</v>
      </c>
      <c r="J327" s="5">
        <f ca="1">IFERROR(__xludf.DUMMYFUNCTION("""COMPUTED_VALUE"""),0)</f>
        <v>0</v>
      </c>
      <c r="K327" s="5">
        <f ca="1">IFERROR(__xludf.DUMMYFUNCTION("""COMPUTED_VALUE"""),0)</f>
        <v>0</v>
      </c>
      <c r="L327" s="5">
        <f ca="1">IFERROR(__xludf.DUMMYFUNCTION("""COMPUTED_VALUE"""),0)</f>
        <v>0</v>
      </c>
      <c r="M327">
        <f ca="1">IFERROR(__xludf.DUMMYFUNCTION("""COMPUTED_VALUE"""),3)</f>
        <v>3</v>
      </c>
      <c r="N327" s="8"/>
    </row>
    <row r="328" spans="1:14" ht="12.45" hidden="1">
      <c r="A328" t="str">
        <f ca="1">IFERROR(__xludf.DUMMYFUNCTION("""COMPUTED_VALUE"""),"V-3-536")</f>
        <v>V-3-536</v>
      </c>
      <c r="B328" t="str">
        <f ca="1">IFERROR(__xludf.DUMMYFUNCTION("""COMPUTED_VALUE"""),"Урбанович")</f>
        <v>Урбанович</v>
      </c>
      <c r="C328" t="str">
        <f ca="1">IFERROR(__xludf.DUMMYFUNCTION("""COMPUTED_VALUE"""),"Елизавета")</f>
        <v>Елизавета</v>
      </c>
      <c r="D328" t="str">
        <f ca="1">IFERROR(__xludf.DUMMYFUNCTION("""COMPUTED_VALUE"""),"Гимназия 343")</f>
        <v>Гимназия 343</v>
      </c>
      <c r="E328" s="5">
        <f ca="1">IFERROR(__xludf.DUMMYFUNCTION("""COMPUTED_VALUE"""),0)</f>
        <v>0</v>
      </c>
      <c r="F328" s="5">
        <f ca="1">IFERROR(__xludf.DUMMYFUNCTION("""COMPUTED_VALUE"""),0)</f>
        <v>0</v>
      </c>
      <c r="G328" s="5">
        <f ca="1">IFERROR(__xludf.DUMMYFUNCTION("""COMPUTED_VALUE"""),1)</f>
        <v>1</v>
      </c>
      <c r="H328" s="5">
        <f ca="1">IFERROR(__xludf.DUMMYFUNCTION("""COMPUTED_VALUE"""),2)</f>
        <v>2</v>
      </c>
      <c r="I328" s="5">
        <f ca="1">IFERROR(__xludf.DUMMYFUNCTION("""COMPUTED_VALUE"""),0)</f>
        <v>0</v>
      </c>
      <c r="J328" s="5">
        <f ca="1">IFERROR(__xludf.DUMMYFUNCTION("""COMPUTED_VALUE"""),0)</f>
        <v>0</v>
      </c>
      <c r="K328" s="5">
        <f ca="1">IFERROR(__xludf.DUMMYFUNCTION("""COMPUTED_VALUE"""),0)</f>
        <v>0</v>
      </c>
      <c r="L328" s="5">
        <f ca="1">IFERROR(__xludf.DUMMYFUNCTION("""COMPUTED_VALUE"""),0)</f>
        <v>0</v>
      </c>
      <c r="M328">
        <f ca="1">IFERROR(__xludf.DUMMYFUNCTION("""COMPUTED_VALUE"""),3)</f>
        <v>3</v>
      </c>
      <c r="N328" s="8"/>
    </row>
    <row r="329" spans="1:14" ht="12.45" hidden="1">
      <c r="A329" t="str">
        <f ca="1">IFERROR(__xludf.DUMMYFUNCTION("""COMPUTED_VALUE"""),"V-3-378")</f>
        <v>V-3-378</v>
      </c>
      <c r="B329" t="str">
        <f ca="1">IFERROR(__xludf.DUMMYFUNCTION("""COMPUTED_VALUE"""),"Образцова")</f>
        <v>Образцова</v>
      </c>
      <c r="C329" t="str">
        <f ca="1">IFERROR(__xludf.DUMMYFUNCTION("""COMPUTED_VALUE"""),"Анастасия")</f>
        <v>Анастасия</v>
      </c>
      <c r="D329" t="str">
        <f ca="1">IFERROR(__xludf.DUMMYFUNCTION("""COMPUTED_VALUE"""),"Гимназия 67")</f>
        <v>Гимназия 67</v>
      </c>
      <c r="E329" s="5">
        <f ca="1">IFERROR(__xludf.DUMMYFUNCTION("""COMPUTED_VALUE"""),0)</f>
        <v>0</v>
      </c>
      <c r="F329" s="5">
        <f ca="1">IFERROR(__xludf.DUMMYFUNCTION("""COMPUTED_VALUE"""),1)</f>
        <v>1</v>
      </c>
      <c r="G329" s="5">
        <f ca="1">IFERROR(__xludf.DUMMYFUNCTION("""COMPUTED_VALUE"""),0)</f>
        <v>0</v>
      </c>
      <c r="H329" s="5">
        <f ca="1">IFERROR(__xludf.DUMMYFUNCTION("""COMPUTED_VALUE"""),0)</f>
        <v>0</v>
      </c>
      <c r="I329" s="5">
        <f ca="1">IFERROR(__xludf.DUMMYFUNCTION("""COMPUTED_VALUE"""),0)</f>
        <v>0</v>
      </c>
      <c r="J329" s="5">
        <f ca="1">IFERROR(__xludf.DUMMYFUNCTION("""COMPUTED_VALUE"""),0)</f>
        <v>0</v>
      </c>
      <c r="K329" s="5">
        <f ca="1">IFERROR(__xludf.DUMMYFUNCTION("""COMPUTED_VALUE"""),2)</f>
        <v>2</v>
      </c>
      <c r="L329" s="5">
        <f ca="1">IFERROR(__xludf.DUMMYFUNCTION("""COMPUTED_VALUE"""),0)</f>
        <v>0</v>
      </c>
      <c r="M329">
        <f ca="1">IFERROR(__xludf.DUMMYFUNCTION("""COMPUTED_VALUE"""),3)</f>
        <v>3</v>
      </c>
      <c r="N329" s="8"/>
    </row>
    <row r="330" spans="1:14" ht="12.45" hidden="1">
      <c r="A330" t="str">
        <f ca="1">IFERROR(__xludf.DUMMYFUNCTION("""COMPUTED_VALUE"""),"V-3-582")</f>
        <v>V-3-582</v>
      </c>
      <c r="B330" t="str">
        <f ca="1">IFERROR(__xludf.DUMMYFUNCTION("""COMPUTED_VALUE"""),"Шилинская")</f>
        <v>Шилинская</v>
      </c>
      <c r="C330" t="str">
        <f ca="1">IFERROR(__xludf.DUMMYFUNCTION("""COMPUTED_VALUE"""),"Вероника")</f>
        <v>Вероника</v>
      </c>
      <c r="D330" t="str">
        <f ca="1">IFERROR(__xludf.DUMMYFUNCTION("""COMPUTED_VALUE"""),"Лицей 344")</f>
        <v>Лицей 344</v>
      </c>
      <c r="E330" s="5">
        <f ca="1">IFERROR(__xludf.DUMMYFUNCTION("""COMPUTED_VALUE"""),0)</f>
        <v>0</v>
      </c>
      <c r="F330" s="5">
        <f ca="1">IFERROR(__xludf.DUMMYFUNCTION("""COMPUTED_VALUE"""),0)</f>
        <v>0</v>
      </c>
      <c r="G330" s="5">
        <f ca="1">IFERROR(__xludf.DUMMYFUNCTION("""COMPUTED_VALUE"""),1)</f>
        <v>1</v>
      </c>
      <c r="H330" s="5">
        <f ca="1">IFERROR(__xludf.DUMMYFUNCTION("""COMPUTED_VALUE"""),0)</f>
        <v>0</v>
      </c>
      <c r="I330" s="5">
        <f ca="1">IFERROR(__xludf.DUMMYFUNCTION("""COMPUTED_VALUE"""),0)</f>
        <v>0</v>
      </c>
      <c r="J330" s="5">
        <f ca="1">IFERROR(__xludf.DUMMYFUNCTION("""COMPUTED_VALUE"""),0)</f>
        <v>0</v>
      </c>
      <c r="K330" s="5">
        <f ca="1">IFERROR(__xludf.DUMMYFUNCTION("""COMPUTED_VALUE"""),1)</f>
        <v>1</v>
      </c>
      <c r="L330" s="5">
        <f ca="1">IFERROR(__xludf.DUMMYFUNCTION("""COMPUTED_VALUE"""),1)</f>
        <v>1</v>
      </c>
      <c r="M330">
        <f ca="1">IFERROR(__xludf.DUMMYFUNCTION("""COMPUTED_VALUE"""),3)</f>
        <v>3</v>
      </c>
      <c r="N330" s="8"/>
    </row>
    <row r="331" spans="1:14" ht="12.45" hidden="1">
      <c r="A331" t="str">
        <f ca="1">IFERROR(__xludf.DUMMYFUNCTION("""COMPUTED_VALUE"""),"III-3-184")</f>
        <v>III-3-184</v>
      </c>
      <c r="B331" t="str">
        <f ca="1">IFERROR(__xludf.DUMMYFUNCTION("""COMPUTED_VALUE"""),"Ильин")</f>
        <v>Ильин</v>
      </c>
      <c r="C331" t="str">
        <f ca="1">IFERROR(__xludf.DUMMYFUNCTION("""COMPUTED_VALUE"""),"Максим")</f>
        <v>Максим</v>
      </c>
      <c r="D331" t="str">
        <f ca="1">IFERROR(__xludf.DUMMYFUNCTION("""COMPUTED_VALUE"""),"Школа 246")</f>
        <v>Школа 246</v>
      </c>
      <c r="E331" s="5">
        <f ca="1">IFERROR(__xludf.DUMMYFUNCTION("""COMPUTED_VALUE"""),0)</f>
        <v>0</v>
      </c>
      <c r="F331" s="5">
        <f ca="1">IFERROR(__xludf.DUMMYFUNCTION("""COMPUTED_VALUE"""),0)</f>
        <v>0</v>
      </c>
      <c r="G331" s="5">
        <f ca="1">IFERROR(__xludf.DUMMYFUNCTION("""COMPUTED_VALUE"""),1)</f>
        <v>1</v>
      </c>
      <c r="H331" s="5">
        <f ca="1">IFERROR(__xludf.DUMMYFUNCTION("""COMPUTED_VALUE"""),0)</f>
        <v>0</v>
      </c>
      <c r="I331" s="5">
        <f ca="1">IFERROR(__xludf.DUMMYFUNCTION("""COMPUTED_VALUE"""),0)</f>
        <v>0</v>
      </c>
      <c r="J331" s="5">
        <f ca="1">IFERROR(__xludf.DUMMYFUNCTION("""COMPUTED_VALUE"""),0)</f>
        <v>0</v>
      </c>
      <c r="K331" s="5">
        <f ca="1">IFERROR(__xludf.DUMMYFUNCTION("""COMPUTED_VALUE"""),2)</f>
        <v>2</v>
      </c>
      <c r="L331" s="5">
        <f ca="1">IFERROR(__xludf.DUMMYFUNCTION("""COMPUTED_VALUE"""),0)</f>
        <v>0</v>
      </c>
      <c r="M331">
        <f ca="1">IFERROR(__xludf.DUMMYFUNCTION("""COMPUTED_VALUE"""),3)</f>
        <v>3</v>
      </c>
      <c r="N331" s="8"/>
    </row>
    <row r="332" spans="1:14" ht="12.45" hidden="1">
      <c r="A332" t="str">
        <f ca="1">IFERROR(__xludf.DUMMYFUNCTION("""COMPUTED_VALUE"""),"III-3-261")</f>
        <v>III-3-261</v>
      </c>
      <c r="B332" t="str">
        <f ca="1">IFERROR(__xludf.DUMMYFUNCTION("""COMPUTED_VALUE"""),"Кулешов")</f>
        <v>Кулешов</v>
      </c>
      <c r="C332" t="str">
        <f ca="1">IFERROR(__xludf.DUMMYFUNCTION("""COMPUTED_VALUE"""),"Артём")</f>
        <v>Артём</v>
      </c>
      <c r="D332" t="str">
        <f ca="1">IFERROR(__xludf.DUMMYFUNCTION("""COMPUTED_VALUE"""),"Школа 630")</f>
        <v>Школа 630</v>
      </c>
      <c r="E332" s="5">
        <f ca="1">IFERROR(__xludf.DUMMYFUNCTION("""COMPUTED_VALUE"""),1)</f>
        <v>1</v>
      </c>
      <c r="F332" s="5">
        <f ca="1">IFERROR(__xludf.DUMMYFUNCTION("""COMPUTED_VALUE"""),1)</f>
        <v>1</v>
      </c>
      <c r="G332" s="5">
        <f ca="1">IFERROR(__xludf.DUMMYFUNCTION("""COMPUTED_VALUE"""),1)</f>
        <v>1</v>
      </c>
      <c r="H332" s="5">
        <f ca="1">IFERROR(__xludf.DUMMYFUNCTION("""COMPUTED_VALUE"""),0)</f>
        <v>0</v>
      </c>
      <c r="I332" s="5">
        <f ca="1">IFERROR(__xludf.DUMMYFUNCTION("""COMPUTED_VALUE"""),0)</f>
        <v>0</v>
      </c>
      <c r="J332" s="5">
        <f ca="1">IFERROR(__xludf.DUMMYFUNCTION("""COMPUTED_VALUE"""),0)</f>
        <v>0</v>
      </c>
      <c r="K332" s="5">
        <f ca="1">IFERROR(__xludf.DUMMYFUNCTION("""COMPUTED_VALUE"""),0)</f>
        <v>0</v>
      </c>
      <c r="L332" s="5">
        <f ca="1">IFERROR(__xludf.DUMMYFUNCTION("""COMPUTED_VALUE"""),0)</f>
        <v>0</v>
      </c>
      <c r="M332">
        <f ca="1">IFERROR(__xludf.DUMMYFUNCTION("""COMPUTED_VALUE"""),3)</f>
        <v>3</v>
      </c>
      <c r="N332" s="8"/>
    </row>
    <row r="333" spans="1:14" ht="12.45" hidden="1">
      <c r="A333" t="str">
        <f ca="1">IFERROR(__xludf.DUMMYFUNCTION("""COMPUTED_VALUE"""),"III-3-055")</f>
        <v>III-3-055</v>
      </c>
      <c r="B333" t="str">
        <f ca="1">IFERROR(__xludf.DUMMYFUNCTION("""COMPUTED_VALUE"""),"Борисова")</f>
        <v>Борисова</v>
      </c>
      <c r="C333" t="str">
        <f ca="1">IFERROR(__xludf.DUMMYFUNCTION("""COMPUTED_VALUE"""),"Валерия")</f>
        <v>Валерия</v>
      </c>
      <c r="D333" t="str">
        <f ca="1">IFERROR(__xludf.DUMMYFUNCTION("""COMPUTED_VALUE"""),"Школа 246")</f>
        <v>Школа 246</v>
      </c>
      <c r="E333" s="5">
        <f ca="1">IFERROR(__xludf.DUMMYFUNCTION("""COMPUTED_VALUE"""),0)</f>
        <v>0</v>
      </c>
      <c r="F333" s="5">
        <f ca="1">IFERROR(__xludf.DUMMYFUNCTION("""COMPUTED_VALUE"""),2)</f>
        <v>2</v>
      </c>
      <c r="G333" s="5">
        <f ca="1">IFERROR(__xludf.DUMMYFUNCTION("""COMPUTED_VALUE"""),1)</f>
        <v>1</v>
      </c>
      <c r="H333" s="5">
        <f ca="1">IFERROR(__xludf.DUMMYFUNCTION("""COMPUTED_VALUE"""),0)</f>
        <v>0</v>
      </c>
      <c r="I333" s="5">
        <f ca="1">IFERROR(__xludf.DUMMYFUNCTION("""COMPUTED_VALUE"""),0)</f>
        <v>0</v>
      </c>
      <c r="J333" s="5">
        <f ca="1">IFERROR(__xludf.DUMMYFUNCTION("""COMPUTED_VALUE"""),0)</f>
        <v>0</v>
      </c>
      <c r="K333" s="5">
        <f ca="1">IFERROR(__xludf.DUMMYFUNCTION("""COMPUTED_VALUE"""),0)</f>
        <v>0</v>
      </c>
      <c r="L333" s="5">
        <f ca="1">IFERROR(__xludf.DUMMYFUNCTION("""COMPUTED_VALUE"""),0)</f>
        <v>0</v>
      </c>
      <c r="M333">
        <f ca="1">IFERROR(__xludf.DUMMYFUNCTION("""COMPUTED_VALUE"""),3)</f>
        <v>3</v>
      </c>
      <c r="N333" s="8"/>
    </row>
    <row r="334" spans="1:14" ht="12.45" hidden="1">
      <c r="A334" t="str">
        <f ca="1">IFERROR(__xludf.DUMMYFUNCTION("""COMPUTED_VALUE"""),"III-3-060")</f>
        <v>III-3-060</v>
      </c>
      <c r="B334" t="str">
        <f ca="1">IFERROR(__xludf.DUMMYFUNCTION("""COMPUTED_VALUE"""),"Брыкунов")</f>
        <v>Брыкунов</v>
      </c>
      <c r="C334" t="str">
        <f ca="1">IFERROR(__xludf.DUMMYFUNCTION("""COMPUTED_VALUE"""),"Дмитрий")</f>
        <v>Дмитрий</v>
      </c>
      <c r="D334" t="str">
        <f ca="1">IFERROR(__xludf.DUMMYFUNCTION("""COMPUTED_VALUE"""),"Лицей 101")</f>
        <v>Лицей 101</v>
      </c>
      <c r="E334" s="5">
        <f ca="1">IFERROR(__xludf.DUMMYFUNCTION("""COMPUTED_VALUE"""),0)</f>
        <v>0</v>
      </c>
      <c r="F334" s="5">
        <f ca="1">IFERROR(__xludf.DUMMYFUNCTION("""COMPUTED_VALUE"""),0)</f>
        <v>0</v>
      </c>
      <c r="G334" s="5">
        <f ca="1">IFERROR(__xludf.DUMMYFUNCTION("""COMPUTED_VALUE"""),0)</f>
        <v>0</v>
      </c>
      <c r="H334" s="5">
        <f ca="1">IFERROR(__xludf.DUMMYFUNCTION("""COMPUTED_VALUE"""),0)</f>
        <v>0</v>
      </c>
      <c r="I334" s="5">
        <f ca="1">IFERROR(__xludf.DUMMYFUNCTION("""COMPUTED_VALUE"""),2)</f>
        <v>2</v>
      </c>
      <c r="J334" s="5">
        <f ca="1">IFERROR(__xludf.DUMMYFUNCTION("""COMPUTED_VALUE"""),0)</f>
        <v>0</v>
      </c>
      <c r="K334" s="5">
        <f ca="1">IFERROR(__xludf.DUMMYFUNCTION("""COMPUTED_VALUE"""),0)</f>
        <v>0</v>
      </c>
      <c r="L334" s="5">
        <f ca="1">IFERROR(__xludf.DUMMYFUNCTION("""COMPUTED_VALUE"""),0)</f>
        <v>0</v>
      </c>
      <c r="M334">
        <f ca="1">IFERROR(__xludf.DUMMYFUNCTION("""COMPUTED_VALUE"""),2)</f>
        <v>2</v>
      </c>
      <c r="N334" s="8"/>
    </row>
    <row r="335" spans="1:14" ht="12.45" hidden="1">
      <c r="A335" t="str">
        <f ca="1">IFERROR(__xludf.DUMMYFUNCTION("""COMPUTED_VALUE"""),"III-3-086")</f>
        <v>III-3-086</v>
      </c>
      <c r="B335" t="str">
        <f ca="1">IFERROR(__xludf.DUMMYFUNCTION("""COMPUTED_VALUE"""),"Вихрова")</f>
        <v>Вихрова</v>
      </c>
      <c r="C335" t="str">
        <f ca="1">IFERROR(__xludf.DUMMYFUNCTION("""COMPUTED_VALUE"""),"Карина")</f>
        <v>Карина</v>
      </c>
      <c r="D335" t="str">
        <f ca="1">IFERROR(__xludf.DUMMYFUNCTION("""COMPUTED_VALUE"""),"Гимназия 343")</f>
        <v>Гимназия 343</v>
      </c>
      <c r="E335" s="5">
        <f ca="1">IFERROR(__xludf.DUMMYFUNCTION("""COMPUTED_VALUE"""),0)</f>
        <v>0</v>
      </c>
      <c r="F335" s="5">
        <f ca="1">IFERROR(__xludf.DUMMYFUNCTION("""COMPUTED_VALUE"""),0)</f>
        <v>0</v>
      </c>
      <c r="G335" s="5">
        <f ca="1">IFERROR(__xludf.DUMMYFUNCTION("""COMPUTED_VALUE"""),0)</f>
        <v>0</v>
      </c>
      <c r="H335" s="5">
        <f ca="1">IFERROR(__xludf.DUMMYFUNCTION("""COMPUTED_VALUE"""),0)</f>
        <v>0</v>
      </c>
      <c r="I335" s="5">
        <f ca="1">IFERROR(__xludf.DUMMYFUNCTION("""COMPUTED_VALUE"""),2)</f>
        <v>2</v>
      </c>
      <c r="J335" s="5">
        <f ca="1">IFERROR(__xludf.DUMMYFUNCTION("""COMPUTED_VALUE"""),0)</f>
        <v>0</v>
      </c>
      <c r="K335" s="5">
        <f ca="1">IFERROR(__xludf.DUMMYFUNCTION("""COMPUTED_VALUE"""),0)</f>
        <v>0</v>
      </c>
      <c r="L335" s="5">
        <f ca="1">IFERROR(__xludf.DUMMYFUNCTION("""COMPUTED_VALUE"""),0)</f>
        <v>0</v>
      </c>
      <c r="M335">
        <f ca="1">IFERROR(__xludf.DUMMYFUNCTION("""COMPUTED_VALUE"""),2)</f>
        <v>2</v>
      </c>
      <c r="N335" s="8"/>
    </row>
    <row r="336" spans="1:14" ht="12.45" hidden="1">
      <c r="A336" t="str">
        <f ca="1">IFERROR(__xludf.DUMMYFUNCTION("""COMPUTED_VALUE"""),"III-3-232")</f>
        <v>III-3-232</v>
      </c>
      <c r="B336" t="str">
        <f ca="1">IFERROR(__xludf.DUMMYFUNCTION("""COMPUTED_VALUE"""),"Кононова")</f>
        <v>Кононова</v>
      </c>
      <c r="C336" t="str">
        <f ca="1">IFERROR(__xludf.DUMMYFUNCTION("""COMPUTED_VALUE"""),"Дарья")</f>
        <v>Дарья</v>
      </c>
      <c r="D336" t="str">
        <f ca="1">IFERROR(__xludf.DUMMYFUNCTION("""COMPUTED_VALUE"""),"Гимназия 67")</f>
        <v>Гимназия 67</v>
      </c>
      <c r="E336" s="5">
        <f ca="1">IFERROR(__xludf.DUMMYFUNCTION("""COMPUTED_VALUE"""),0)</f>
        <v>0</v>
      </c>
      <c r="F336" s="5">
        <f ca="1">IFERROR(__xludf.DUMMYFUNCTION("""COMPUTED_VALUE"""),0)</f>
        <v>0</v>
      </c>
      <c r="G336" s="5">
        <f ca="1">IFERROR(__xludf.DUMMYFUNCTION("""COMPUTED_VALUE"""),0)</f>
        <v>0</v>
      </c>
      <c r="H336" s="5">
        <f ca="1">IFERROR(__xludf.DUMMYFUNCTION("""COMPUTED_VALUE"""),0)</f>
        <v>0</v>
      </c>
      <c r="I336" s="5">
        <f ca="1">IFERROR(__xludf.DUMMYFUNCTION("""COMPUTED_VALUE"""),2)</f>
        <v>2</v>
      </c>
      <c r="J336" s="5">
        <f ca="1">IFERROR(__xludf.DUMMYFUNCTION("""COMPUTED_VALUE"""),0)</f>
        <v>0</v>
      </c>
      <c r="K336" s="5">
        <f ca="1">IFERROR(__xludf.DUMMYFUNCTION("""COMPUTED_VALUE"""),0)</f>
        <v>0</v>
      </c>
      <c r="L336" s="5">
        <f ca="1">IFERROR(__xludf.DUMMYFUNCTION("""COMPUTED_VALUE"""),0)</f>
        <v>0</v>
      </c>
      <c r="M336">
        <f ca="1">IFERROR(__xludf.DUMMYFUNCTION("""COMPUTED_VALUE"""),2)</f>
        <v>2</v>
      </c>
      <c r="N336" s="8"/>
    </row>
    <row r="337" spans="1:14" ht="12.45" hidden="1">
      <c r="A337" t="str">
        <f ca="1">IFERROR(__xludf.DUMMYFUNCTION("""COMPUTED_VALUE"""),"V-3-352")</f>
        <v>V-3-352</v>
      </c>
      <c r="B337" t="str">
        <f ca="1">IFERROR(__xludf.DUMMYFUNCTION("""COMPUTED_VALUE"""),"Мутина")</f>
        <v>Мутина</v>
      </c>
      <c r="C337" t="str">
        <f ca="1">IFERROR(__xludf.DUMMYFUNCTION("""COMPUTED_VALUE"""),"София")</f>
        <v>София</v>
      </c>
      <c r="D337" t="str">
        <f ca="1">IFERROR(__xludf.DUMMYFUNCTION("""COMPUTED_VALUE"""),"Гимназия 642")</f>
        <v>Гимназия 642</v>
      </c>
      <c r="E337" s="5">
        <f ca="1">IFERROR(__xludf.DUMMYFUNCTION("""COMPUTED_VALUE"""),0)</f>
        <v>0</v>
      </c>
      <c r="F337" s="5">
        <f ca="1">IFERROR(__xludf.DUMMYFUNCTION("""COMPUTED_VALUE"""),0)</f>
        <v>0</v>
      </c>
      <c r="G337" s="5">
        <f ca="1">IFERROR(__xludf.DUMMYFUNCTION("""COMPUTED_VALUE"""),1)</f>
        <v>1</v>
      </c>
      <c r="H337" s="5">
        <f ca="1">IFERROR(__xludf.DUMMYFUNCTION("""COMPUTED_VALUE"""),0)</f>
        <v>0</v>
      </c>
      <c r="I337" s="5">
        <f ca="1">IFERROR(__xludf.DUMMYFUNCTION("""COMPUTED_VALUE"""),1)</f>
        <v>1</v>
      </c>
      <c r="J337" s="5">
        <f ca="1">IFERROR(__xludf.DUMMYFUNCTION("""COMPUTED_VALUE"""),0)</f>
        <v>0</v>
      </c>
      <c r="K337" s="5">
        <f ca="1">IFERROR(__xludf.DUMMYFUNCTION("""COMPUTED_VALUE"""),0)</f>
        <v>0</v>
      </c>
      <c r="L337" s="5">
        <f ca="1">IFERROR(__xludf.DUMMYFUNCTION("""COMPUTED_VALUE"""),0)</f>
        <v>0</v>
      </c>
      <c r="M337">
        <f ca="1">IFERROR(__xludf.DUMMYFUNCTION("""COMPUTED_VALUE"""),2)</f>
        <v>2</v>
      </c>
      <c r="N337" s="8"/>
    </row>
    <row r="338" spans="1:14" ht="12.45" hidden="1">
      <c r="A338" t="str">
        <f ca="1">IFERROR(__xludf.DUMMYFUNCTION("""COMPUTED_VALUE"""),"III-3-024")</f>
        <v>III-3-024</v>
      </c>
      <c r="B338" t="str">
        <f ca="1">IFERROR(__xludf.DUMMYFUNCTION("""COMPUTED_VALUE"""),"Арбузов")</f>
        <v>Арбузов</v>
      </c>
      <c r="C338" t="str">
        <f ca="1">IFERROR(__xludf.DUMMYFUNCTION("""COMPUTED_VALUE"""),"Владимир")</f>
        <v>Владимир</v>
      </c>
      <c r="D338" t="str">
        <f ca="1">IFERROR(__xludf.DUMMYFUNCTION("""COMPUTED_VALUE"""),"Гимназия 116")</f>
        <v>Гимназия 116</v>
      </c>
      <c r="E338" s="5">
        <f ca="1">IFERROR(__xludf.DUMMYFUNCTION("""COMPUTED_VALUE"""),0)</f>
        <v>0</v>
      </c>
      <c r="F338" s="5">
        <f ca="1">IFERROR(__xludf.DUMMYFUNCTION("""COMPUTED_VALUE"""),1)</f>
        <v>1</v>
      </c>
      <c r="G338" s="5">
        <f ca="1">IFERROR(__xludf.DUMMYFUNCTION("""COMPUTED_VALUE"""),0)</f>
        <v>0</v>
      </c>
      <c r="H338" s="5">
        <f ca="1">IFERROR(__xludf.DUMMYFUNCTION("""COMPUTED_VALUE"""),0)</f>
        <v>0</v>
      </c>
      <c r="I338" s="5">
        <f ca="1">IFERROR(__xludf.DUMMYFUNCTION("""COMPUTED_VALUE"""),0)</f>
        <v>0</v>
      </c>
      <c r="J338" s="5">
        <f ca="1">IFERROR(__xludf.DUMMYFUNCTION("""COMPUTED_VALUE"""),1)</f>
        <v>1</v>
      </c>
      <c r="K338" s="5">
        <f ca="1">IFERROR(__xludf.DUMMYFUNCTION("""COMPUTED_VALUE"""),0)</f>
        <v>0</v>
      </c>
      <c r="L338" s="5">
        <f ca="1">IFERROR(__xludf.DUMMYFUNCTION("""COMPUTED_VALUE"""),0)</f>
        <v>0</v>
      </c>
      <c r="M338">
        <f ca="1">IFERROR(__xludf.DUMMYFUNCTION("""COMPUTED_VALUE"""),2)</f>
        <v>2</v>
      </c>
      <c r="N338" s="8"/>
    </row>
    <row r="339" spans="1:14" ht="12.45" hidden="1">
      <c r="A339" t="str">
        <f ca="1">IFERROR(__xludf.DUMMYFUNCTION("""COMPUTED_VALUE"""),"III-3-096")</f>
        <v>III-3-096</v>
      </c>
      <c r="B339" t="str">
        <f ca="1">IFERROR(__xludf.DUMMYFUNCTION("""COMPUTED_VALUE"""),"Гарифулина")</f>
        <v>Гарифулина</v>
      </c>
      <c r="C339" t="str">
        <f ca="1">IFERROR(__xludf.DUMMYFUNCTION("""COMPUTED_VALUE"""),"Дана")</f>
        <v>Дана</v>
      </c>
      <c r="D339" t="str">
        <f ca="1">IFERROR(__xludf.DUMMYFUNCTION("""COMPUTED_VALUE"""),"Гимназия 652")</f>
        <v>Гимназия 652</v>
      </c>
      <c r="E339" s="5">
        <f ca="1">IFERROR(__xludf.DUMMYFUNCTION("""COMPUTED_VALUE"""),0)</f>
        <v>0</v>
      </c>
      <c r="F339" s="5">
        <f ca="1">IFERROR(__xludf.DUMMYFUNCTION("""COMPUTED_VALUE"""),1)</f>
        <v>1</v>
      </c>
      <c r="G339" s="5">
        <f ca="1">IFERROR(__xludf.DUMMYFUNCTION("""COMPUTED_VALUE"""),1)</f>
        <v>1</v>
      </c>
      <c r="H339" s="5">
        <f ca="1">IFERROR(__xludf.DUMMYFUNCTION("""COMPUTED_VALUE"""),0)</f>
        <v>0</v>
      </c>
      <c r="I339" s="5">
        <f ca="1">IFERROR(__xludf.DUMMYFUNCTION("""COMPUTED_VALUE"""),0)</f>
        <v>0</v>
      </c>
      <c r="J339" s="5">
        <f ca="1">IFERROR(__xludf.DUMMYFUNCTION("""COMPUTED_VALUE"""),0)</f>
        <v>0</v>
      </c>
      <c r="K339" s="5">
        <f ca="1">IFERROR(__xludf.DUMMYFUNCTION("""COMPUTED_VALUE"""),0)</f>
        <v>0</v>
      </c>
      <c r="L339" s="5">
        <f ca="1">IFERROR(__xludf.DUMMYFUNCTION("""COMPUTED_VALUE"""),0)</f>
        <v>0</v>
      </c>
      <c r="M339">
        <f ca="1">IFERROR(__xludf.DUMMYFUNCTION("""COMPUTED_VALUE"""),2)</f>
        <v>2</v>
      </c>
      <c r="N339" s="8"/>
    </row>
    <row r="340" spans="1:14" ht="12.45" hidden="1">
      <c r="A340" t="str">
        <f ca="1">IFERROR(__xludf.DUMMYFUNCTION("""COMPUTED_VALUE"""),"V-3-357")</f>
        <v>V-3-357</v>
      </c>
      <c r="B340" t="str">
        <f ca="1">IFERROR(__xludf.DUMMYFUNCTION("""COMPUTED_VALUE"""),"Нагаева")</f>
        <v>Нагаева</v>
      </c>
      <c r="C340" t="str">
        <f ca="1">IFERROR(__xludf.DUMMYFUNCTION("""COMPUTED_VALUE"""),"Ольга")</f>
        <v>Ольга</v>
      </c>
      <c r="D340" t="str">
        <f ca="1">IFERROR(__xludf.DUMMYFUNCTION("""COMPUTED_VALUE"""),"Школа 163")</f>
        <v>Школа 163</v>
      </c>
      <c r="E340" s="5">
        <f ca="1">IFERROR(__xludf.DUMMYFUNCTION("""COMPUTED_VALUE"""),1)</f>
        <v>1</v>
      </c>
      <c r="F340" s="5">
        <f ca="1">IFERROR(__xludf.DUMMYFUNCTION("""COMPUTED_VALUE"""),0)</f>
        <v>0</v>
      </c>
      <c r="G340" s="5">
        <f ca="1">IFERROR(__xludf.DUMMYFUNCTION("""COMPUTED_VALUE"""),1)</f>
        <v>1</v>
      </c>
      <c r="H340" s="5">
        <f ca="1">IFERROR(__xludf.DUMMYFUNCTION("""COMPUTED_VALUE"""),0)</f>
        <v>0</v>
      </c>
      <c r="I340" s="5">
        <f ca="1">IFERROR(__xludf.DUMMYFUNCTION("""COMPUTED_VALUE"""),0)</f>
        <v>0</v>
      </c>
      <c r="J340" s="5">
        <f ca="1">IFERROR(__xludf.DUMMYFUNCTION("""COMPUTED_VALUE"""),0)</f>
        <v>0</v>
      </c>
      <c r="K340" s="5">
        <f ca="1">IFERROR(__xludf.DUMMYFUNCTION("""COMPUTED_VALUE"""),0)</f>
        <v>0</v>
      </c>
      <c r="L340" s="5">
        <f ca="1">IFERROR(__xludf.DUMMYFUNCTION("""COMPUTED_VALUE"""),0)</f>
        <v>0</v>
      </c>
      <c r="M340">
        <f ca="1">IFERROR(__xludf.DUMMYFUNCTION("""COMPUTED_VALUE"""),2)</f>
        <v>2</v>
      </c>
      <c r="N340" s="8"/>
    </row>
    <row r="341" spans="1:14" ht="12.45" hidden="1">
      <c r="A341" t="str">
        <f ca="1">IFERROR(__xludf.DUMMYFUNCTION("""COMPUTED_VALUE"""),"V-3-450")</f>
        <v>V-3-450</v>
      </c>
      <c r="B341" t="str">
        <f ca="1">IFERROR(__xludf.DUMMYFUNCTION("""COMPUTED_VALUE"""),"Рыбакова")</f>
        <v>Рыбакова</v>
      </c>
      <c r="C341" t="str">
        <f ca="1">IFERROR(__xludf.DUMMYFUNCTION("""COMPUTED_VALUE"""),"Серафима")</f>
        <v>Серафима</v>
      </c>
      <c r="D341" t="str">
        <f ca="1">IFERROR(__xludf.DUMMYFUNCTION("""COMPUTED_VALUE"""),"Гимназия 85")</f>
        <v>Гимназия 85</v>
      </c>
      <c r="E341" s="5">
        <f ca="1">IFERROR(__xludf.DUMMYFUNCTION("""COMPUTED_VALUE"""),1)</f>
        <v>1</v>
      </c>
      <c r="F341" s="5">
        <f ca="1">IFERROR(__xludf.DUMMYFUNCTION("""COMPUTED_VALUE"""),0)</f>
        <v>0</v>
      </c>
      <c r="G341" s="5">
        <f ca="1">IFERROR(__xludf.DUMMYFUNCTION("""COMPUTED_VALUE"""),1)</f>
        <v>1</v>
      </c>
      <c r="H341" s="5">
        <f ca="1">IFERROR(__xludf.DUMMYFUNCTION("""COMPUTED_VALUE"""),0)</f>
        <v>0</v>
      </c>
      <c r="I341" s="5">
        <f ca="1">IFERROR(__xludf.DUMMYFUNCTION("""COMPUTED_VALUE"""),0)</f>
        <v>0</v>
      </c>
      <c r="J341" s="5">
        <f ca="1">IFERROR(__xludf.DUMMYFUNCTION("""COMPUTED_VALUE"""),0)</f>
        <v>0</v>
      </c>
      <c r="K341" s="5">
        <f ca="1">IFERROR(__xludf.DUMMYFUNCTION("""COMPUTED_VALUE"""),0)</f>
        <v>0</v>
      </c>
      <c r="L341" s="5">
        <f ca="1">IFERROR(__xludf.DUMMYFUNCTION("""COMPUTED_VALUE"""),0)</f>
        <v>0</v>
      </c>
      <c r="M341">
        <f ca="1">IFERROR(__xludf.DUMMYFUNCTION("""COMPUTED_VALUE"""),2)</f>
        <v>2</v>
      </c>
      <c r="N341" s="8"/>
    </row>
    <row r="342" spans="1:14" ht="12.45" hidden="1">
      <c r="A342" t="str">
        <f ca="1">IFERROR(__xludf.DUMMYFUNCTION("""COMPUTED_VALUE"""),"V-3-524")</f>
        <v>V-3-524</v>
      </c>
      <c r="B342" t="str">
        <f ca="1">IFERROR(__xludf.DUMMYFUNCTION("""COMPUTED_VALUE"""),"Трофимов")</f>
        <v>Трофимов</v>
      </c>
      <c r="C342" t="str">
        <f ca="1">IFERROR(__xludf.DUMMYFUNCTION("""COMPUTED_VALUE"""),"Степан")</f>
        <v>Степан</v>
      </c>
      <c r="D342" t="str">
        <f ca="1">IFERROR(__xludf.DUMMYFUNCTION("""COMPUTED_VALUE"""),"Школа 625")</f>
        <v>Школа 625</v>
      </c>
      <c r="E342" s="5">
        <f ca="1">IFERROR(__xludf.DUMMYFUNCTION("""COMPUTED_VALUE"""),0)</f>
        <v>0</v>
      </c>
      <c r="F342" s="5">
        <f ca="1">IFERROR(__xludf.DUMMYFUNCTION("""COMPUTED_VALUE"""),0)</f>
        <v>0</v>
      </c>
      <c r="G342" s="5">
        <f ca="1">IFERROR(__xludf.DUMMYFUNCTION("""COMPUTED_VALUE"""),1)</f>
        <v>1</v>
      </c>
      <c r="H342" s="5">
        <f ca="1">IFERROR(__xludf.DUMMYFUNCTION("""COMPUTED_VALUE"""),0)</f>
        <v>0</v>
      </c>
      <c r="I342" s="5">
        <f ca="1">IFERROR(__xludf.DUMMYFUNCTION("""COMPUTED_VALUE"""),0)</f>
        <v>0</v>
      </c>
      <c r="J342" s="5">
        <f ca="1">IFERROR(__xludf.DUMMYFUNCTION("""COMPUTED_VALUE"""),0)</f>
        <v>0</v>
      </c>
      <c r="K342" s="5">
        <f ca="1">IFERROR(__xludf.DUMMYFUNCTION("""COMPUTED_VALUE"""),1)</f>
        <v>1</v>
      </c>
      <c r="L342" s="5">
        <f ca="1">IFERROR(__xludf.DUMMYFUNCTION("""COMPUTED_VALUE"""),0)</f>
        <v>0</v>
      </c>
      <c r="M342">
        <f ca="1">IFERROR(__xludf.DUMMYFUNCTION("""COMPUTED_VALUE"""),2)</f>
        <v>2</v>
      </c>
      <c r="N342" s="8"/>
    </row>
    <row r="343" spans="1:14" ht="12.45" hidden="1">
      <c r="A343" t="str">
        <f ca="1">IFERROR(__xludf.DUMMYFUNCTION("""COMPUTED_VALUE"""),"V-3-515")</f>
        <v>V-3-515</v>
      </c>
      <c r="B343" t="str">
        <f ca="1">IFERROR(__xludf.DUMMYFUNCTION("""COMPUTED_VALUE"""),"Телятьев")</f>
        <v>Телятьев</v>
      </c>
      <c r="C343" t="str">
        <f ca="1">IFERROR(__xludf.DUMMYFUNCTION("""COMPUTED_VALUE"""),"Роман")</f>
        <v>Роман</v>
      </c>
      <c r="D343" t="str">
        <f ca="1">IFERROR(__xludf.DUMMYFUNCTION("""COMPUTED_VALUE"""),"Школа 306")</f>
        <v>Школа 306</v>
      </c>
      <c r="E343" s="5">
        <f ca="1">IFERROR(__xludf.DUMMYFUNCTION("""COMPUTED_VALUE"""),0)</f>
        <v>0</v>
      </c>
      <c r="F343" s="5">
        <f ca="1">IFERROR(__xludf.DUMMYFUNCTION("""COMPUTED_VALUE"""),0)</f>
        <v>0</v>
      </c>
      <c r="G343" s="5">
        <f ca="1">IFERROR(__xludf.DUMMYFUNCTION("""COMPUTED_VALUE"""),0)</f>
        <v>0</v>
      </c>
      <c r="H343" s="5">
        <f ca="1">IFERROR(__xludf.DUMMYFUNCTION("""COMPUTED_VALUE"""),0)</f>
        <v>0</v>
      </c>
      <c r="I343" s="5">
        <f ca="1">IFERROR(__xludf.DUMMYFUNCTION("""COMPUTED_VALUE"""),0)</f>
        <v>0</v>
      </c>
      <c r="J343" s="5">
        <f ca="1">IFERROR(__xludf.DUMMYFUNCTION("""COMPUTED_VALUE"""),0)</f>
        <v>0</v>
      </c>
      <c r="K343" s="5">
        <f ca="1">IFERROR(__xludf.DUMMYFUNCTION("""COMPUTED_VALUE"""),2)</f>
        <v>2</v>
      </c>
      <c r="L343" s="5">
        <f ca="1">IFERROR(__xludf.DUMMYFUNCTION("""COMPUTED_VALUE"""),0)</f>
        <v>0</v>
      </c>
      <c r="M343">
        <f ca="1">IFERROR(__xludf.DUMMYFUNCTION("""COMPUTED_VALUE"""),2)</f>
        <v>2</v>
      </c>
      <c r="N343" s="8"/>
    </row>
    <row r="344" spans="1:14" ht="12.45" hidden="1">
      <c r="A344" t="str">
        <f ca="1">IFERROR(__xludf.DUMMYFUNCTION("""COMPUTED_VALUE"""),"V-3-562")</f>
        <v>V-3-562</v>
      </c>
      <c r="B344" t="str">
        <f ca="1">IFERROR(__xludf.DUMMYFUNCTION("""COMPUTED_VALUE"""),"Ценципер")</f>
        <v>Ценципер</v>
      </c>
      <c r="C344" t="str">
        <f ca="1">IFERROR(__xludf.DUMMYFUNCTION("""COMPUTED_VALUE"""),"Илья")</f>
        <v>Илья</v>
      </c>
      <c r="D344" t="str">
        <f ca="1">IFERROR(__xludf.DUMMYFUNCTION("""COMPUTED_VALUE"""),"Школа 4")</f>
        <v>Школа 4</v>
      </c>
      <c r="E344" s="5">
        <f ca="1">IFERROR(__xludf.DUMMYFUNCTION("""COMPUTED_VALUE"""),0)</f>
        <v>0</v>
      </c>
      <c r="F344" s="5">
        <f ca="1">IFERROR(__xludf.DUMMYFUNCTION("""COMPUTED_VALUE"""),1)</f>
        <v>1</v>
      </c>
      <c r="G344" s="5">
        <f ca="1">IFERROR(__xludf.DUMMYFUNCTION("""COMPUTED_VALUE"""),1)</f>
        <v>1</v>
      </c>
      <c r="H344" s="5">
        <f ca="1">IFERROR(__xludf.DUMMYFUNCTION("""COMPUTED_VALUE"""),0)</f>
        <v>0</v>
      </c>
      <c r="I344" s="5">
        <f ca="1">IFERROR(__xludf.DUMMYFUNCTION("""COMPUTED_VALUE"""),0)</f>
        <v>0</v>
      </c>
      <c r="J344" s="5">
        <f ca="1">IFERROR(__xludf.DUMMYFUNCTION("""COMPUTED_VALUE"""),0)</f>
        <v>0</v>
      </c>
      <c r="K344" s="5">
        <f ca="1">IFERROR(__xludf.DUMMYFUNCTION("""COMPUTED_VALUE"""),0)</f>
        <v>0</v>
      </c>
      <c r="L344" s="5">
        <f ca="1">IFERROR(__xludf.DUMMYFUNCTION("""COMPUTED_VALUE"""),0)</f>
        <v>0</v>
      </c>
      <c r="M344">
        <f ca="1">IFERROR(__xludf.DUMMYFUNCTION("""COMPUTED_VALUE"""),2)</f>
        <v>2</v>
      </c>
      <c r="N344" s="8"/>
    </row>
    <row r="345" spans="1:14" ht="12.45" hidden="1">
      <c r="A345" t="str">
        <f ca="1">IFERROR(__xludf.DUMMYFUNCTION("""COMPUTED_VALUE"""),"V-3-399")</f>
        <v>V-3-399</v>
      </c>
      <c r="B345" t="str">
        <f ca="1">IFERROR(__xludf.DUMMYFUNCTION("""COMPUTED_VALUE"""),"Панина")</f>
        <v>Панина</v>
      </c>
      <c r="C345" t="str">
        <f ca="1">IFERROR(__xludf.DUMMYFUNCTION("""COMPUTED_VALUE"""),"Елизавета")</f>
        <v>Елизавета</v>
      </c>
      <c r="D345" t="str">
        <f ca="1">IFERROR(__xludf.DUMMYFUNCTION("""COMPUTED_VALUE"""),"Гимназия 642")</f>
        <v>Гимназия 642</v>
      </c>
      <c r="E345" s="5">
        <f ca="1">IFERROR(__xludf.DUMMYFUNCTION("""COMPUTED_VALUE"""),1)</f>
        <v>1</v>
      </c>
      <c r="F345" s="5">
        <f ca="1">IFERROR(__xludf.DUMMYFUNCTION("""COMPUTED_VALUE"""),0)</f>
        <v>0</v>
      </c>
      <c r="G345" s="5">
        <f ca="1">IFERROR(__xludf.DUMMYFUNCTION("""COMPUTED_VALUE"""),1)</f>
        <v>1</v>
      </c>
      <c r="H345" s="5">
        <f ca="1">IFERROR(__xludf.DUMMYFUNCTION("""COMPUTED_VALUE"""),0)</f>
        <v>0</v>
      </c>
      <c r="I345" s="5">
        <f ca="1">IFERROR(__xludf.DUMMYFUNCTION("""COMPUTED_VALUE"""),0)</f>
        <v>0</v>
      </c>
      <c r="J345" s="5">
        <f ca="1">IFERROR(__xludf.DUMMYFUNCTION("""COMPUTED_VALUE"""),0)</f>
        <v>0</v>
      </c>
      <c r="K345" s="5">
        <f ca="1">IFERROR(__xludf.DUMMYFUNCTION("""COMPUTED_VALUE"""),0)</f>
        <v>0</v>
      </c>
      <c r="L345" s="5">
        <f ca="1">IFERROR(__xludf.DUMMYFUNCTION("""COMPUTED_VALUE"""),0)</f>
        <v>0</v>
      </c>
      <c r="M345">
        <f ca="1">IFERROR(__xludf.DUMMYFUNCTION("""COMPUTED_VALUE"""),2)</f>
        <v>2</v>
      </c>
      <c r="N345" s="8"/>
    </row>
    <row r="346" spans="1:14" ht="12.45" hidden="1">
      <c r="A346" t="str">
        <f ca="1">IFERROR(__xludf.DUMMYFUNCTION("""COMPUTED_VALUE"""),"V-3-532")</f>
        <v>V-3-532</v>
      </c>
      <c r="B346" t="str">
        <f ca="1">IFERROR(__xludf.DUMMYFUNCTION("""COMPUTED_VALUE"""),"Тюркин")</f>
        <v>Тюркин</v>
      </c>
      <c r="C346" t="str">
        <f ca="1">IFERROR(__xludf.DUMMYFUNCTION("""COMPUTED_VALUE"""),"Роман")</f>
        <v>Роман</v>
      </c>
      <c r="D346" t="str">
        <f ca="1">IFERROR(__xludf.DUMMYFUNCTION("""COMPUTED_VALUE"""),"Школа 106")</f>
        <v>Школа 106</v>
      </c>
      <c r="E346" s="5">
        <f ca="1">IFERROR(__xludf.DUMMYFUNCTION("""COMPUTED_VALUE"""),0)</f>
        <v>0</v>
      </c>
      <c r="F346" s="5">
        <f ca="1">IFERROR(__xludf.DUMMYFUNCTION("""COMPUTED_VALUE"""),0)</f>
        <v>0</v>
      </c>
      <c r="G346" s="5">
        <f ca="1">IFERROR(__xludf.DUMMYFUNCTION("""COMPUTED_VALUE"""),2)</f>
        <v>2</v>
      </c>
      <c r="H346" s="5">
        <f ca="1">IFERROR(__xludf.DUMMYFUNCTION("""COMPUTED_VALUE"""),0)</f>
        <v>0</v>
      </c>
      <c r="I346" s="5">
        <f ca="1">IFERROR(__xludf.DUMMYFUNCTION("""COMPUTED_VALUE"""),0)</f>
        <v>0</v>
      </c>
      <c r="J346" s="5">
        <f ca="1">IFERROR(__xludf.DUMMYFUNCTION("""COMPUTED_VALUE"""),0)</f>
        <v>0</v>
      </c>
      <c r="K346" s="5">
        <f ca="1">IFERROR(__xludf.DUMMYFUNCTION("""COMPUTED_VALUE"""),0)</f>
        <v>0</v>
      </c>
      <c r="L346" s="5">
        <f ca="1">IFERROR(__xludf.DUMMYFUNCTION("""COMPUTED_VALUE"""),0)</f>
        <v>0</v>
      </c>
      <c r="M346">
        <f ca="1">IFERROR(__xludf.DUMMYFUNCTION("""COMPUTED_VALUE"""),2)</f>
        <v>2</v>
      </c>
      <c r="N346" s="8"/>
    </row>
    <row r="347" spans="1:14" ht="12.45" hidden="1">
      <c r="A347" t="str">
        <f ca="1">IFERROR(__xludf.DUMMYFUNCTION("""COMPUTED_VALUE"""),"III-3-202")</f>
        <v>III-3-202</v>
      </c>
      <c r="B347" t="str">
        <f ca="1">IFERROR(__xludf.DUMMYFUNCTION("""COMPUTED_VALUE"""),"Катаев")</f>
        <v>Катаев</v>
      </c>
      <c r="C347" t="str">
        <f ca="1">IFERROR(__xludf.DUMMYFUNCTION("""COMPUTED_VALUE"""),"Андрей")</f>
        <v>Андрей</v>
      </c>
      <c r="D347" t="str">
        <f ca="1">IFERROR(__xludf.DUMMYFUNCTION("""COMPUTED_VALUE"""),"Школа 106")</f>
        <v>Школа 106</v>
      </c>
      <c r="E347" s="5">
        <f ca="1">IFERROR(__xludf.DUMMYFUNCTION("""COMPUTED_VALUE"""),0)</f>
        <v>0</v>
      </c>
      <c r="F347" s="5">
        <f ca="1">IFERROR(__xludf.DUMMYFUNCTION("""COMPUTED_VALUE"""),0)</f>
        <v>0</v>
      </c>
      <c r="G347" s="5">
        <f ca="1">IFERROR(__xludf.DUMMYFUNCTION("""COMPUTED_VALUE"""),1)</f>
        <v>1</v>
      </c>
      <c r="H347" s="5">
        <f ca="1">IFERROR(__xludf.DUMMYFUNCTION("""COMPUTED_VALUE"""),0)</f>
        <v>0</v>
      </c>
      <c r="I347" s="5">
        <f ca="1">IFERROR(__xludf.DUMMYFUNCTION("""COMPUTED_VALUE"""),0)</f>
        <v>0</v>
      </c>
      <c r="J347" s="5">
        <f ca="1">IFERROR(__xludf.DUMMYFUNCTION("""COMPUTED_VALUE"""),0)</f>
        <v>0</v>
      </c>
      <c r="K347" s="5">
        <f ca="1">IFERROR(__xludf.DUMMYFUNCTION("""COMPUTED_VALUE"""),1)</f>
        <v>1</v>
      </c>
      <c r="L347" s="5">
        <f ca="1">IFERROR(__xludf.DUMMYFUNCTION("""COMPUTED_VALUE"""),0)</f>
        <v>0</v>
      </c>
      <c r="M347">
        <f ca="1">IFERROR(__xludf.DUMMYFUNCTION("""COMPUTED_VALUE"""),2)</f>
        <v>2</v>
      </c>
      <c r="N347" s="8"/>
    </row>
    <row r="348" spans="1:14" ht="12.45" hidden="1">
      <c r="A348" t="str">
        <f ca="1">IFERROR(__xludf.DUMMYFUNCTION("""COMPUTED_VALUE"""),"V-3-340")</f>
        <v>V-3-340</v>
      </c>
      <c r="B348" t="str">
        <f ca="1">IFERROR(__xludf.DUMMYFUNCTION("""COMPUTED_VALUE"""),"Можейко")</f>
        <v>Можейко</v>
      </c>
      <c r="C348" t="str">
        <f ca="1">IFERROR(__xludf.DUMMYFUNCTION("""COMPUTED_VALUE"""),"Эрик")</f>
        <v>Эрик</v>
      </c>
      <c r="D348" t="str">
        <f ca="1">IFERROR(__xludf.DUMMYFUNCTION("""COMPUTED_VALUE"""),"Гимназия 52")</f>
        <v>Гимназия 52</v>
      </c>
      <c r="E348" s="5">
        <f ca="1">IFERROR(__xludf.DUMMYFUNCTION("""COMPUTED_VALUE"""),1)</f>
        <v>1</v>
      </c>
      <c r="F348" s="5">
        <f ca="1">IFERROR(__xludf.DUMMYFUNCTION("""COMPUTED_VALUE"""),0)</f>
        <v>0</v>
      </c>
      <c r="G348" s="5">
        <f ca="1">IFERROR(__xludf.DUMMYFUNCTION("""COMPUTED_VALUE"""),1)</f>
        <v>1</v>
      </c>
      <c r="H348" s="5">
        <f ca="1">IFERROR(__xludf.DUMMYFUNCTION("""COMPUTED_VALUE"""),0)</f>
        <v>0</v>
      </c>
      <c r="I348" s="5">
        <f ca="1">IFERROR(__xludf.DUMMYFUNCTION("""COMPUTED_VALUE"""),0)</f>
        <v>0</v>
      </c>
      <c r="J348" s="5">
        <f ca="1">IFERROR(__xludf.DUMMYFUNCTION("""COMPUTED_VALUE"""),0)</f>
        <v>0</v>
      </c>
      <c r="K348" s="5">
        <f ca="1">IFERROR(__xludf.DUMMYFUNCTION("""COMPUTED_VALUE"""),0)</f>
        <v>0</v>
      </c>
      <c r="L348" s="5">
        <f ca="1">IFERROR(__xludf.DUMMYFUNCTION("""COMPUTED_VALUE"""),0)</f>
        <v>0</v>
      </c>
      <c r="M348">
        <f ca="1">IFERROR(__xludf.DUMMYFUNCTION("""COMPUTED_VALUE"""),2)</f>
        <v>2</v>
      </c>
      <c r="N348" s="8"/>
    </row>
    <row r="349" spans="1:14" ht="12.45" hidden="1">
      <c r="A349" t="str">
        <f ca="1">IFERROR(__xludf.DUMMYFUNCTION("""COMPUTED_VALUE"""),"V-3-375")</f>
        <v>V-3-375</v>
      </c>
      <c r="B349" t="str">
        <f ca="1">IFERROR(__xludf.DUMMYFUNCTION("""COMPUTED_VALUE"""),"Новоселья")</f>
        <v>Новоселья</v>
      </c>
      <c r="C349" t="str">
        <f ca="1">IFERROR(__xludf.DUMMYFUNCTION("""COMPUTED_VALUE"""),"Александр")</f>
        <v>Александр</v>
      </c>
      <c r="D349" t="str">
        <f ca="1">IFERROR(__xludf.DUMMYFUNCTION("""COMPUTED_VALUE"""),"Школа 454")</f>
        <v>Школа 454</v>
      </c>
      <c r="E349" s="5">
        <f ca="1">IFERROR(__xludf.DUMMYFUNCTION("""COMPUTED_VALUE"""),0)</f>
        <v>0</v>
      </c>
      <c r="F349" s="5">
        <f ca="1">IFERROR(__xludf.DUMMYFUNCTION("""COMPUTED_VALUE"""),0)</f>
        <v>0</v>
      </c>
      <c r="G349" s="5">
        <f ca="1">IFERROR(__xludf.DUMMYFUNCTION("""COMPUTED_VALUE"""),0)</f>
        <v>0</v>
      </c>
      <c r="H349" s="5">
        <f ca="1">IFERROR(__xludf.DUMMYFUNCTION("""COMPUTED_VALUE"""),0)</f>
        <v>0</v>
      </c>
      <c r="I349" s="5">
        <f ca="1">IFERROR(__xludf.DUMMYFUNCTION("""COMPUTED_VALUE"""),0)</f>
        <v>0</v>
      </c>
      <c r="J349" s="5">
        <f ca="1">IFERROR(__xludf.DUMMYFUNCTION("""COMPUTED_VALUE"""),0)</f>
        <v>0</v>
      </c>
      <c r="K349" s="5">
        <f ca="1">IFERROR(__xludf.DUMMYFUNCTION("""COMPUTED_VALUE"""),2)</f>
        <v>2</v>
      </c>
      <c r="L349" s="5">
        <f ca="1">IFERROR(__xludf.DUMMYFUNCTION("""COMPUTED_VALUE"""),0)</f>
        <v>0</v>
      </c>
      <c r="M349">
        <f ca="1">IFERROR(__xludf.DUMMYFUNCTION("""COMPUTED_VALUE"""),2)</f>
        <v>2</v>
      </c>
      <c r="N349" s="8"/>
    </row>
    <row r="350" spans="1:14" ht="12.45" hidden="1">
      <c r="A350" t="str">
        <f ca="1">IFERROR(__xludf.DUMMYFUNCTION("""COMPUTED_VALUE"""),"III-3-160")</f>
        <v>III-3-160</v>
      </c>
      <c r="B350" t="str">
        <f ca="1">IFERROR(__xludf.DUMMYFUNCTION("""COMPUTED_VALUE"""),"Захарнёв")</f>
        <v>Захарнёв</v>
      </c>
      <c r="C350" t="str">
        <f ca="1">IFERROR(__xludf.DUMMYFUNCTION("""COMPUTED_VALUE"""),"Артём")</f>
        <v>Артём</v>
      </c>
      <c r="D350" t="str">
        <f ca="1">IFERROR(__xludf.DUMMYFUNCTION("""COMPUTED_VALUE"""),"Гимназия 642")</f>
        <v>Гимназия 642</v>
      </c>
      <c r="E350" s="5">
        <f ca="1">IFERROR(__xludf.DUMMYFUNCTION("""COMPUTED_VALUE"""),0)</f>
        <v>0</v>
      </c>
      <c r="F350" s="5">
        <f ca="1">IFERROR(__xludf.DUMMYFUNCTION("""COMPUTED_VALUE"""),1)</f>
        <v>1</v>
      </c>
      <c r="G350" s="5">
        <f ca="1">IFERROR(__xludf.DUMMYFUNCTION("""COMPUTED_VALUE"""),1)</f>
        <v>1</v>
      </c>
      <c r="H350" s="5">
        <f ca="1">IFERROR(__xludf.DUMMYFUNCTION("""COMPUTED_VALUE"""),0)</f>
        <v>0</v>
      </c>
      <c r="I350" s="5">
        <f ca="1">IFERROR(__xludf.DUMMYFUNCTION("""COMPUTED_VALUE"""),0)</f>
        <v>0</v>
      </c>
      <c r="J350" s="5">
        <f ca="1">IFERROR(__xludf.DUMMYFUNCTION("""COMPUTED_VALUE"""),0)</f>
        <v>0</v>
      </c>
      <c r="K350" s="5">
        <f ca="1">IFERROR(__xludf.DUMMYFUNCTION("""COMPUTED_VALUE"""),0)</f>
        <v>0</v>
      </c>
      <c r="L350" s="5">
        <f ca="1">IFERROR(__xludf.DUMMYFUNCTION("""COMPUTED_VALUE"""),0)</f>
        <v>0</v>
      </c>
      <c r="M350">
        <f ca="1">IFERROR(__xludf.DUMMYFUNCTION("""COMPUTED_VALUE"""),2)</f>
        <v>2</v>
      </c>
      <c r="N350" s="8"/>
    </row>
    <row r="351" spans="1:14" ht="12.45" hidden="1">
      <c r="A351" t="str">
        <f ca="1">IFERROR(__xludf.DUMMYFUNCTION("""COMPUTED_VALUE"""),"V-3-441")</f>
        <v>V-3-441</v>
      </c>
      <c r="B351" t="str">
        <f ca="1">IFERROR(__xludf.DUMMYFUNCTION("""COMPUTED_VALUE"""),"Романцев")</f>
        <v>Романцев</v>
      </c>
      <c r="C351" t="str">
        <f ca="1">IFERROR(__xludf.DUMMYFUNCTION("""COMPUTED_VALUE"""),"Роман")</f>
        <v>Роман</v>
      </c>
      <c r="D351" t="str">
        <f ca="1">IFERROR(__xludf.DUMMYFUNCTION("""COMPUTED_VALUE"""),"Школа 103")</f>
        <v>Школа 103</v>
      </c>
      <c r="E351" s="5">
        <f ca="1">IFERROR(__xludf.DUMMYFUNCTION("""COMPUTED_VALUE"""),1)</f>
        <v>1</v>
      </c>
      <c r="F351" s="5">
        <f ca="1">IFERROR(__xludf.DUMMYFUNCTION("""COMPUTED_VALUE"""),1)</f>
        <v>1</v>
      </c>
      <c r="G351" s="5">
        <f ca="1">IFERROR(__xludf.DUMMYFUNCTION("""COMPUTED_VALUE"""),0)</f>
        <v>0</v>
      </c>
      <c r="H351" s="5">
        <f ca="1">IFERROR(__xludf.DUMMYFUNCTION("""COMPUTED_VALUE"""),0)</f>
        <v>0</v>
      </c>
      <c r="I351" s="5">
        <f ca="1">IFERROR(__xludf.DUMMYFUNCTION("""COMPUTED_VALUE"""),0)</f>
        <v>0</v>
      </c>
      <c r="J351" s="5">
        <f ca="1">IFERROR(__xludf.DUMMYFUNCTION("""COMPUTED_VALUE"""),0)</f>
        <v>0</v>
      </c>
      <c r="K351" s="5">
        <f ca="1">IFERROR(__xludf.DUMMYFUNCTION("""COMPUTED_VALUE"""),0)</f>
        <v>0</v>
      </c>
      <c r="L351" s="5">
        <f ca="1">IFERROR(__xludf.DUMMYFUNCTION("""COMPUTED_VALUE"""),0)</f>
        <v>0</v>
      </c>
      <c r="M351">
        <f ca="1">IFERROR(__xludf.DUMMYFUNCTION("""COMPUTED_VALUE"""),2)</f>
        <v>2</v>
      </c>
      <c r="N351" s="8"/>
    </row>
    <row r="352" spans="1:14" ht="12.45" hidden="1">
      <c r="A352" t="str">
        <f ca="1">IFERROR(__xludf.DUMMYFUNCTION("""COMPUTED_VALUE"""),"III-3-252")</f>
        <v>III-3-252</v>
      </c>
      <c r="B352" t="str">
        <f ca="1">IFERROR(__xludf.DUMMYFUNCTION("""COMPUTED_VALUE"""),"Кудрявцев")</f>
        <v>Кудрявцев</v>
      </c>
      <c r="C352" t="str">
        <f ca="1">IFERROR(__xludf.DUMMYFUNCTION("""COMPUTED_VALUE"""),"Вячеслав")</f>
        <v>Вячеслав</v>
      </c>
      <c r="D352" t="str">
        <f ca="1">IFERROR(__xludf.DUMMYFUNCTION("""COMPUTED_VALUE"""),"Гимназия 271")</f>
        <v>Гимназия 271</v>
      </c>
      <c r="E352" s="5">
        <f ca="1">IFERROR(__xludf.DUMMYFUNCTION("""COMPUTED_VALUE"""),0)</f>
        <v>0</v>
      </c>
      <c r="F352" s="5">
        <f ca="1">IFERROR(__xludf.DUMMYFUNCTION("""COMPUTED_VALUE"""),1)</f>
        <v>1</v>
      </c>
      <c r="G352" s="5">
        <f ca="1">IFERROR(__xludf.DUMMYFUNCTION("""COMPUTED_VALUE"""),0)</f>
        <v>0</v>
      </c>
      <c r="H352" s="5">
        <f ca="1">IFERROR(__xludf.DUMMYFUNCTION("""COMPUTED_VALUE"""),0)</f>
        <v>0</v>
      </c>
      <c r="I352" s="5">
        <f ca="1">IFERROR(__xludf.DUMMYFUNCTION("""COMPUTED_VALUE"""),0)</f>
        <v>0</v>
      </c>
      <c r="J352" s="5">
        <f ca="1">IFERROR(__xludf.DUMMYFUNCTION("""COMPUTED_VALUE"""),1)</f>
        <v>1</v>
      </c>
      <c r="K352" s="5">
        <f ca="1">IFERROR(__xludf.DUMMYFUNCTION("""COMPUTED_VALUE"""),0)</f>
        <v>0</v>
      </c>
      <c r="L352" s="5">
        <f ca="1">IFERROR(__xludf.DUMMYFUNCTION("""COMPUTED_VALUE"""),0)</f>
        <v>0</v>
      </c>
      <c r="M352">
        <f ca="1">IFERROR(__xludf.DUMMYFUNCTION("""COMPUTED_VALUE"""),2)</f>
        <v>2</v>
      </c>
      <c r="N352" s="8"/>
    </row>
    <row r="353" spans="1:14" ht="12.45" hidden="1">
      <c r="A353" t="str">
        <f ca="1">IFERROR(__xludf.DUMMYFUNCTION("""COMPUTED_VALUE"""),"III-3-185")</f>
        <v>III-3-185</v>
      </c>
      <c r="B353" t="str">
        <f ca="1">IFERROR(__xludf.DUMMYFUNCTION("""COMPUTED_VALUE"""),"Ильина")</f>
        <v>Ильина</v>
      </c>
      <c r="C353" t="str">
        <f ca="1">IFERROR(__xludf.DUMMYFUNCTION("""COMPUTED_VALUE"""),"Ксения")</f>
        <v>Ксения</v>
      </c>
      <c r="D353" t="str">
        <f ca="1">IFERROR(__xludf.DUMMYFUNCTION("""COMPUTED_VALUE"""),"Гимназия 271")</f>
        <v>Гимназия 271</v>
      </c>
      <c r="E353" s="5">
        <f ca="1">IFERROR(__xludf.DUMMYFUNCTION("""COMPUTED_VALUE"""),0)</f>
        <v>0</v>
      </c>
      <c r="F353" s="5">
        <f ca="1">IFERROR(__xludf.DUMMYFUNCTION("""COMPUTED_VALUE"""),0)</f>
        <v>0</v>
      </c>
      <c r="G353" s="5">
        <f ca="1">IFERROR(__xludf.DUMMYFUNCTION("""COMPUTED_VALUE"""),0)</f>
        <v>0</v>
      </c>
      <c r="H353" s="5">
        <f ca="1">IFERROR(__xludf.DUMMYFUNCTION("""COMPUTED_VALUE"""),0)</f>
        <v>0</v>
      </c>
      <c r="I353" s="5">
        <f ca="1">IFERROR(__xludf.DUMMYFUNCTION("""COMPUTED_VALUE"""),0)</f>
        <v>0</v>
      </c>
      <c r="J353" s="5">
        <f ca="1">IFERROR(__xludf.DUMMYFUNCTION("""COMPUTED_VALUE"""),1)</f>
        <v>1</v>
      </c>
      <c r="K353" s="5">
        <f ca="1">IFERROR(__xludf.DUMMYFUNCTION("""COMPUTED_VALUE"""),0)</f>
        <v>0</v>
      </c>
      <c r="L353" s="5">
        <f ca="1">IFERROR(__xludf.DUMMYFUNCTION("""COMPUTED_VALUE"""),1)</f>
        <v>1</v>
      </c>
      <c r="M353">
        <f ca="1">IFERROR(__xludf.DUMMYFUNCTION("""COMPUTED_VALUE"""),2)</f>
        <v>2</v>
      </c>
      <c r="N353" s="8"/>
    </row>
    <row r="354" spans="1:14" ht="12.45" hidden="1">
      <c r="A354" t="str">
        <f ca="1">IFERROR(__xludf.DUMMYFUNCTION("""COMPUTED_VALUE"""),"V-3-473")</f>
        <v>V-3-473</v>
      </c>
      <c r="B354" t="str">
        <f ca="1">IFERROR(__xludf.DUMMYFUNCTION("""COMPUTED_VALUE"""),"Серова")</f>
        <v>Серова</v>
      </c>
      <c r="C354" t="str">
        <f ca="1">IFERROR(__xludf.DUMMYFUNCTION("""COMPUTED_VALUE"""),"Александра")</f>
        <v>Александра</v>
      </c>
      <c r="D354" t="str">
        <f ca="1">IFERROR(__xludf.DUMMYFUNCTION("""COMPUTED_VALUE"""),"Лицей 344")</f>
        <v>Лицей 344</v>
      </c>
      <c r="E354" s="5">
        <f ca="1">IFERROR(__xludf.DUMMYFUNCTION("""COMPUTED_VALUE"""),1)</f>
        <v>1</v>
      </c>
      <c r="F354" s="5">
        <f ca="1">IFERROR(__xludf.DUMMYFUNCTION("""COMPUTED_VALUE"""),0)</f>
        <v>0</v>
      </c>
      <c r="G354" s="5">
        <f ca="1">IFERROR(__xludf.DUMMYFUNCTION("""COMPUTED_VALUE"""),0)</f>
        <v>0</v>
      </c>
      <c r="H354" s="5">
        <f ca="1">IFERROR(__xludf.DUMMYFUNCTION("""COMPUTED_VALUE"""),0)</f>
        <v>0</v>
      </c>
      <c r="I354" s="5">
        <f ca="1">IFERROR(__xludf.DUMMYFUNCTION("""COMPUTED_VALUE"""),0)</f>
        <v>0</v>
      </c>
      <c r="J354" s="5">
        <f ca="1">IFERROR(__xludf.DUMMYFUNCTION("""COMPUTED_VALUE"""),1)</f>
        <v>1</v>
      </c>
      <c r="K354" s="5">
        <f ca="1">IFERROR(__xludf.DUMMYFUNCTION("""COMPUTED_VALUE"""),0)</f>
        <v>0</v>
      </c>
      <c r="L354" s="5">
        <f ca="1">IFERROR(__xludf.DUMMYFUNCTION("""COMPUTED_VALUE"""),0)</f>
        <v>0</v>
      </c>
      <c r="M354">
        <f ca="1">IFERROR(__xludf.DUMMYFUNCTION("""COMPUTED_VALUE"""),2)</f>
        <v>2</v>
      </c>
      <c r="N354" s="8"/>
    </row>
    <row r="355" spans="1:14" ht="12.45" hidden="1">
      <c r="A355" t="str">
        <f ca="1">IFERROR(__xludf.DUMMYFUNCTION("""COMPUTED_VALUE"""),"III-3-199")</f>
        <v>III-3-199</v>
      </c>
      <c r="B355" t="str">
        <f ca="1">IFERROR(__xludf.DUMMYFUNCTION("""COMPUTED_VALUE"""),"Кареба")</f>
        <v>Кареба</v>
      </c>
      <c r="C355" t="str">
        <f ca="1">IFERROR(__xludf.DUMMYFUNCTION("""COMPUTED_VALUE"""),"Сергей")</f>
        <v>Сергей</v>
      </c>
      <c r="D355" t="str">
        <f ca="1">IFERROR(__xludf.DUMMYFUNCTION("""COMPUTED_VALUE"""),"Школа 113")</f>
        <v>Школа 113</v>
      </c>
      <c r="E355" s="5">
        <f ca="1">IFERROR(__xludf.DUMMYFUNCTION("""COMPUTED_VALUE"""),0)</f>
        <v>0</v>
      </c>
      <c r="F355" s="5">
        <f ca="1">IFERROR(__xludf.DUMMYFUNCTION("""COMPUTED_VALUE"""),1)</f>
        <v>1</v>
      </c>
      <c r="G355" s="5">
        <f ca="1">IFERROR(__xludf.DUMMYFUNCTION("""COMPUTED_VALUE"""),0)</f>
        <v>0</v>
      </c>
      <c r="H355" s="5">
        <f ca="1">IFERROR(__xludf.DUMMYFUNCTION("""COMPUTED_VALUE"""),0)</f>
        <v>0</v>
      </c>
      <c r="I355" s="5">
        <f ca="1">IFERROR(__xludf.DUMMYFUNCTION("""COMPUTED_VALUE"""),0)</f>
        <v>0</v>
      </c>
      <c r="J355" s="5">
        <f ca="1">IFERROR(__xludf.DUMMYFUNCTION("""COMPUTED_VALUE"""),0)</f>
        <v>0</v>
      </c>
      <c r="K355" s="5">
        <f ca="1">IFERROR(__xludf.DUMMYFUNCTION("""COMPUTED_VALUE"""),0)</f>
        <v>0</v>
      </c>
      <c r="L355" s="5">
        <f ca="1">IFERROR(__xludf.DUMMYFUNCTION("""COMPUTED_VALUE"""),1)</f>
        <v>1</v>
      </c>
      <c r="M355">
        <f ca="1">IFERROR(__xludf.DUMMYFUNCTION("""COMPUTED_VALUE"""),2)</f>
        <v>2</v>
      </c>
      <c r="N355" s="8"/>
    </row>
    <row r="356" spans="1:14" ht="12.45" hidden="1">
      <c r="A356" t="str">
        <f ca="1">IFERROR(__xludf.DUMMYFUNCTION("""COMPUTED_VALUE"""),"V-3-305")</f>
        <v>V-3-305</v>
      </c>
      <c r="B356" t="str">
        <f ca="1">IFERROR(__xludf.DUMMYFUNCTION("""COMPUTED_VALUE"""),"Магидов")</f>
        <v>Магидов</v>
      </c>
      <c r="C356" t="str">
        <f ca="1">IFERROR(__xludf.DUMMYFUNCTION("""COMPUTED_VALUE"""),"Максим")</f>
        <v>Максим</v>
      </c>
      <c r="D356" t="str">
        <f ca="1">IFERROR(__xludf.DUMMYFUNCTION("""COMPUTED_VALUE"""),"Лицей 64")</f>
        <v>Лицей 64</v>
      </c>
      <c r="E356" s="5">
        <f ca="1">IFERROR(__xludf.DUMMYFUNCTION("""COMPUTED_VALUE"""),0)</f>
        <v>0</v>
      </c>
      <c r="F356" s="5">
        <f ca="1">IFERROR(__xludf.DUMMYFUNCTION("""COMPUTED_VALUE"""),1)</f>
        <v>1</v>
      </c>
      <c r="G356" s="5">
        <f ca="1">IFERROR(__xludf.DUMMYFUNCTION("""COMPUTED_VALUE"""),1)</f>
        <v>1</v>
      </c>
      <c r="H356" s="5">
        <f ca="1">IFERROR(__xludf.DUMMYFUNCTION("""COMPUTED_VALUE"""),0)</f>
        <v>0</v>
      </c>
      <c r="I356" s="5">
        <f ca="1">IFERROR(__xludf.DUMMYFUNCTION("""COMPUTED_VALUE"""),0)</f>
        <v>0</v>
      </c>
      <c r="J356" s="5">
        <f ca="1">IFERROR(__xludf.DUMMYFUNCTION("""COMPUTED_VALUE"""),0)</f>
        <v>0</v>
      </c>
      <c r="K356" s="5">
        <f ca="1">IFERROR(__xludf.DUMMYFUNCTION("""COMPUTED_VALUE"""),0)</f>
        <v>0</v>
      </c>
      <c r="L356" s="5">
        <f ca="1">IFERROR(__xludf.DUMMYFUNCTION("""COMPUTED_VALUE"""),0)</f>
        <v>0</v>
      </c>
      <c r="M356">
        <f ca="1">IFERROR(__xludf.DUMMYFUNCTION("""COMPUTED_VALUE"""),2)</f>
        <v>2</v>
      </c>
      <c r="N356" s="8"/>
    </row>
    <row r="357" spans="1:14" ht="12.45" hidden="1">
      <c r="A357" t="str">
        <f ca="1">IFERROR(__xludf.DUMMYFUNCTION("""COMPUTED_VALUE"""),"III-3-282")</f>
        <v>III-3-282</v>
      </c>
      <c r="B357" t="str">
        <f ca="1">IFERROR(__xludf.DUMMYFUNCTION("""COMPUTED_VALUE"""),"Латышов")</f>
        <v>Латышов</v>
      </c>
      <c r="C357" t="str">
        <f ca="1">IFERROR(__xludf.DUMMYFUNCTION("""COMPUTED_VALUE"""),"Максим")</f>
        <v>Максим</v>
      </c>
      <c r="D357" t="str">
        <f ca="1">IFERROR(__xludf.DUMMYFUNCTION("""COMPUTED_VALUE"""),"Школа 246")</f>
        <v>Школа 246</v>
      </c>
      <c r="E357" s="5">
        <f ca="1">IFERROR(__xludf.DUMMYFUNCTION("""COMPUTED_VALUE"""),0)</f>
        <v>0</v>
      </c>
      <c r="F357" s="5">
        <f ca="1">IFERROR(__xludf.DUMMYFUNCTION("""COMPUTED_VALUE"""),0)</f>
        <v>0</v>
      </c>
      <c r="G357" s="5">
        <f ca="1">IFERROR(__xludf.DUMMYFUNCTION("""COMPUTED_VALUE"""),1)</f>
        <v>1</v>
      </c>
      <c r="H357" s="5">
        <f ca="1">IFERROR(__xludf.DUMMYFUNCTION("""COMPUTED_VALUE"""),0)</f>
        <v>0</v>
      </c>
      <c r="I357" s="5">
        <f ca="1">IFERROR(__xludf.DUMMYFUNCTION("""COMPUTED_VALUE"""),0)</f>
        <v>0</v>
      </c>
      <c r="J357" s="5">
        <f ca="1">IFERROR(__xludf.DUMMYFUNCTION("""COMPUTED_VALUE"""),1)</f>
        <v>1</v>
      </c>
      <c r="K357" s="5">
        <f ca="1">IFERROR(__xludf.DUMMYFUNCTION("""COMPUTED_VALUE"""),0)</f>
        <v>0</v>
      </c>
      <c r="L357" s="5">
        <f ca="1">IFERROR(__xludf.DUMMYFUNCTION("""COMPUTED_VALUE"""),0)</f>
        <v>0</v>
      </c>
      <c r="M357">
        <f ca="1">IFERROR(__xludf.DUMMYFUNCTION("""COMPUTED_VALUE"""),2)</f>
        <v>2</v>
      </c>
      <c r="N357" s="8"/>
    </row>
    <row r="358" spans="1:14" ht="12.45" hidden="1">
      <c r="A358" t="str">
        <f ca="1">IFERROR(__xludf.DUMMYFUNCTION("""COMPUTED_VALUE"""),"V-3-498")</f>
        <v>V-3-498</v>
      </c>
      <c r="B358" t="str">
        <f ca="1">IFERROR(__xludf.DUMMYFUNCTION("""COMPUTED_VALUE"""),"Степашина")</f>
        <v>Степашина</v>
      </c>
      <c r="C358" t="str">
        <f ca="1">IFERROR(__xludf.DUMMYFUNCTION("""COMPUTED_VALUE"""),"Анастасия")</f>
        <v>Анастасия</v>
      </c>
      <c r="D358" t="str">
        <f ca="1">IFERROR(__xludf.DUMMYFUNCTION("""COMPUTED_VALUE"""),"Школа 246")</f>
        <v>Школа 246</v>
      </c>
      <c r="E358" s="5">
        <f ca="1">IFERROR(__xludf.DUMMYFUNCTION("""COMPUTED_VALUE"""),0)</f>
        <v>0</v>
      </c>
      <c r="F358" s="5">
        <f ca="1">IFERROR(__xludf.DUMMYFUNCTION("""COMPUTED_VALUE"""),2)</f>
        <v>2</v>
      </c>
      <c r="G358" s="5">
        <f ca="1">IFERROR(__xludf.DUMMYFUNCTION("""COMPUTED_VALUE"""),0)</f>
        <v>0</v>
      </c>
      <c r="H358" s="5">
        <f ca="1">IFERROR(__xludf.DUMMYFUNCTION("""COMPUTED_VALUE"""),0)</f>
        <v>0</v>
      </c>
      <c r="I358" s="5">
        <f ca="1">IFERROR(__xludf.DUMMYFUNCTION("""COMPUTED_VALUE"""),0)</f>
        <v>0</v>
      </c>
      <c r="J358" s="5">
        <f ca="1">IFERROR(__xludf.DUMMYFUNCTION("""COMPUTED_VALUE"""),0)</f>
        <v>0</v>
      </c>
      <c r="K358" s="5">
        <f ca="1">IFERROR(__xludf.DUMMYFUNCTION("""COMPUTED_VALUE"""),0)</f>
        <v>0</v>
      </c>
      <c r="L358" s="5">
        <f ca="1">IFERROR(__xludf.DUMMYFUNCTION("""COMPUTED_VALUE"""),0)</f>
        <v>0</v>
      </c>
      <c r="M358">
        <f ca="1">IFERROR(__xludf.DUMMYFUNCTION("""COMPUTED_VALUE"""),2)</f>
        <v>2</v>
      </c>
      <c r="N358" s="8"/>
    </row>
    <row r="359" spans="1:14" ht="12.45" hidden="1">
      <c r="A359" t="str">
        <f ca="1">IFERROR(__xludf.DUMMYFUNCTION("""COMPUTED_VALUE"""),"III-3-218")</f>
        <v>III-3-218</v>
      </c>
      <c r="B359" t="str">
        <f ca="1">IFERROR(__xludf.DUMMYFUNCTION("""COMPUTED_VALUE"""),"Ковальчук")</f>
        <v>Ковальчук</v>
      </c>
      <c r="C359" t="str">
        <f ca="1">IFERROR(__xludf.DUMMYFUNCTION("""COMPUTED_VALUE"""),"Полина")</f>
        <v>Полина</v>
      </c>
      <c r="D359" t="str">
        <f ca="1">IFERROR(__xludf.DUMMYFUNCTION("""COMPUTED_VALUE"""),"Школа 246")</f>
        <v>Школа 246</v>
      </c>
      <c r="E359" s="5">
        <f ca="1">IFERROR(__xludf.DUMMYFUNCTION("""COMPUTED_VALUE"""),1)</f>
        <v>1</v>
      </c>
      <c r="F359" s="5">
        <f ca="1">IFERROR(__xludf.DUMMYFUNCTION("""COMPUTED_VALUE"""),0)</f>
        <v>0</v>
      </c>
      <c r="G359" s="5">
        <f ca="1">IFERROR(__xludf.DUMMYFUNCTION("""COMPUTED_VALUE"""),1)</f>
        <v>1</v>
      </c>
      <c r="H359" s="5">
        <f ca="1">IFERROR(__xludf.DUMMYFUNCTION("""COMPUTED_VALUE"""),0)</f>
        <v>0</v>
      </c>
      <c r="I359" s="5">
        <f ca="1">IFERROR(__xludf.DUMMYFUNCTION("""COMPUTED_VALUE"""),0)</f>
        <v>0</v>
      </c>
      <c r="J359" s="5">
        <f ca="1">IFERROR(__xludf.DUMMYFUNCTION("""COMPUTED_VALUE"""),0)</f>
        <v>0</v>
      </c>
      <c r="K359" s="5">
        <f ca="1">IFERROR(__xludf.DUMMYFUNCTION("""COMPUTED_VALUE"""),0)</f>
        <v>0</v>
      </c>
      <c r="L359" s="5">
        <f ca="1">IFERROR(__xludf.DUMMYFUNCTION("""COMPUTED_VALUE"""),0)</f>
        <v>0</v>
      </c>
      <c r="M359">
        <f ca="1">IFERROR(__xludf.DUMMYFUNCTION("""COMPUTED_VALUE"""),2)</f>
        <v>2</v>
      </c>
      <c r="N359" s="8"/>
    </row>
    <row r="360" spans="1:14" ht="12.45" hidden="1">
      <c r="A360" t="str">
        <f ca="1">IFERROR(__xludf.DUMMYFUNCTION("""COMPUTED_VALUE"""),"V-3-445")</f>
        <v>V-3-445</v>
      </c>
      <c r="B360" t="str">
        <f ca="1">IFERROR(__xludf.DUMMYFUNCTION("""COMPUTED_VALUE"""),"Рубцов")</f>
        <v>Рубцов</v>
      </c>
      <c r="C360" t="str">
        <f ca="1">IFERROR(__xludf.DUMMYFUNCTION("""COMPUTED_VALUE"""),"Иван")</f>
        <v>Иван</v>
      </c>
      <c r="D360" t="str">
        <f ca="1">IFERROR(__xludf.DUMMYFUNCTION("""COMPUTED_VALUE"""),"Гимназия 177")</f>
        <v>Гимназия 177</v>
      </c>
      <c r="E360" s="5">
        <f ca="1">IFERROR(__xludf.DUMMYFUNCTION("""COMPUTED_VALUE"""),0)</f>
        <v>0</v>
      </c>
      <c r="F360" s="5">
        <f ca="1">IFERROR(__xludf.DUMMYFUNCTION("""COMPUTED_VALUE"""),2)</f>
        <v>2</v>
      </c>
      <c r="G360" s="5">
        <f ca="1">IFERROR(__xludf.DUMMYFUNCTION("""COMPUTED_VALUE"""),0)</f>
        <v>0</v>
      </c>
      <c r="H360" s="5">
        <f ca="1">IFERROR(__xludf.DUMMYFUNCTION("""COMPUTED_VALUE"""),0)</f>
        <v>0</v>
      </c>
      <c r="I360" s="5">
        <f ca="1">IFERROR(__xludf.DUMMYFUNCTION("""COMPUTED_VALUE"""),0)</f>
        <v>0</v>
      </c>
      <c r="J360" s="5">
        <f ca="1">IFERROR(__xludf.DUMMYFUNCTION("""COMPUTED_VALUE"""),0)</f>
        <v>0</v>
      </c>
      <c r="K360" s="5">
        <f ca="1">IFERROR(__xludf.DUMMYFUNCTION("""COMPUTED_VALUE"""),0)</f>
        <v>0</v>
      </c>
      <c r="L360" s="5">
        <f ca="1">IFERROR(__xludf.DUMMYFUNCTION("""COMPUTED_VALUE"""),0)</f>
        <v>0</v>
      </c>
      <c r="M360">
        <f ca="1">IFERROR(__xludf.DUMMYFUNCTION("""COMPUTED_VALUE"""),2)</f>
        <v>2</v>
      </c>
      <c r="N360" s="8"/>
    </row>
    <row r="361" spans="1:14" ht="12.45" hidden="1">
      <c r="A361" t="str">
        <f ca="1">IFERROR(__xludf.DUMMYFUNCTION("""COMPUTED_VALUE"""),"III-3-182")</f>
        <v>III-3-182</v>
      </c>
      <c r="B361" t="str">
        <f ca="1">IFERROR(__xludf.DUMMYFUNCTION("""COMPUTED_VALUE"""),"Измайлова")</f>
        <v>Измайлова</v>
      </c>
      <c r="C361" t="str">
        <f ca="1">IFERROR(__xludf.DUMMYFUNCTION("""COMPUTED_VALUE"""),"Татьяна")</f>
        <v>Татьяна</v>
      </c>
      <c r="D361" t="str">
        <f ca="1">IFERROR(__xludf.DUMMYFUNCTION("""COMPUTED_VALUE"""),"Гимназия 171")</f>
        <v>Гимназия 171</v>
      </c>
      <c r="E361" s="5">
        <f ca="1">IFERROR(__xludf.DUMMYFUNCTION("""COMPUTED_VALUE"""),0)</f>
        <v>0</v>
      </c>
      <c r="F361" s="5">
        <f ca="1">IFERROR(__xludf.DUMMYFUNCTION("""COMPUTED_VALUE"""),1)</f>
        <v>1</v>
      </c>
      <c r="G361" s="5">
        <f ca="1">IFERROR(__xludf.DUMMYFUNCTION("""COMPUTED_VALUE"""),0)</f>
        <v>0</v>
      </c>
      <c r="H361" s="5">
        <f ca="1">IFERROR(__xludf.DUMMYFUNCTION("""COMPUTED_VALUE"""),0)</f>
        <v>0</v>
      </c>
      <c r="I361" s="5">
        <f ca="1">IFERROR(__xludf.DUMMYFUNCTION("""COMPUTED_VALUE"""),0)</f>
        <v>0</v>
      </c>
      <c r="J361" s="5">
        <f ca="1">IFERROR(__xludf.DUMMYFUNCTION("""COMPUTED_VALUE"""),0)</f>
        <v>0</v>
      </c>
      <c r="K361" s="5">
        <f ca="1">IFERROR(__xludf.DUMMYFUNCTION("""COMPUTED_VALUE"""),0)</f>
        <v>0</v>
      </c>
      <c r="L361" s="5">
        <f ca="1">IFERROR(__xludf.DUMMYFUNCTION("""COMPUTED_VALUE"""),1)</f>
        <v>1</v>
      </c>
      <c r="M361">
        <f ca="1">IFERROR(__xludf.DUMMYFUNCTION("""COMPUTED_VALUE"""),2)</f>
        <v>2</v>
      </c>
      <c r="N361" s="8"/>
    </row>
    <row r="362" spans="1:14" ht="12.45" hidden="1">
      <c r="A362" t="str">
        <f ca="1">IFERROR(__xludf.DUMMYFUNCTION("""COMPUTED_VALUE"""),"V-3-566")</f>
        <v>V-3-566</v>
      </c>
      <c r="B362" t="str">
        <f ca="1">IFERROR(__xludf.DUMMYFUNCTION("""COMPUTED_VALUE"""),"Черменина")</f>
        <v>Черменина</v>
      </c>
      <c r="C362" t="str">
        <f ca="1">IFERROR(__xludf.DUMMYFUNCTION("""COMPUTED_VALUE"""),"Анна")</f>
        <v>Анна</v>
      </c>
      <c r="D362" t="str">
        <f ca="1">IFERROR(__xludf.DUMMYFUNCTION("""COMPUTED_VALUE"""),"Гимназия 171")</f>
        <v>Гимназия 171</v>
      </c>
      <c r="E362" s="5">
        <f ca="1">IFERROR(__xludf.DUMMYFUNCTION("""COMPUTED_VALUE"""),1)</f>
        <v>1</v>
      </c>
      <c r="F362" s="5">
        <f ca="1">IFERROR(__xludf.DUMMYFUNCTION("""COMPUTED_VALUE"""),0)</f>
        <v>0</v>
      </c>
      <c r="G362" s="5">
        <f ca="1">IFERROR(__xludf.DUMMYFUNCTION("""COMPUTED_VALUE"""),1)</f>
        <v>1</v>
      </c>
      <c r="H362" s="5">
        <f ca="1">IFERROR(__xludf.DUMMYFUNCTION("""COMPUTED_VALUE"""),0)</f>
        <v>0</v>
      </c>
      <c r="I362" s="5">
        <f ca="1">IFERROR(__xludf.DUMMYFUNCTION("""COMPUTED_VALUE"""),0)</f>
        <v>0</v>
      </c>
      <c r="J362" s="5">
        <f ca="1">IFERROR(__xludf.DUMMYFUNCTION("""COMPUTED_VALUE"""),0)</f>
        <v>0</v>
      </c>
      <c r="K362" s="5">
        <f ca="1">IFERROR(__xludf.DUMMYFUNCTION("""COMPUTED_VALUE"""),0)</f>
        <v>0</v>
      </c>
      <c r="L362" s="5">
        <f ca="1">IFERROR(__xludf.DUMMYFUNCTION("""COMPUTED_VALUE"""),0)</f>
        <v>0</v>
      </c>
      <c r="M362">
        <f ca="1">IFERROR(__xludf.DUMMYFUNCTION("""COMPUTED_VALUE"""),2)</f>
        <v>2</v>
      </c>
      <c r="N362" s="8"/>
    </row>
    <row r="363" spans="1:14" ht="12.45" hidden="1">
      <c r="A363" t="str">
        <f ca="1">IFERROR(__xludf.DUMMYFUNCTION("""COMPUTED_VALUE"""),"III-3-001")</f>
        <v>III-3-001</v>
      </c>
      <c r="B363" t="str">
        <f ca="1">IFERROR(__xludf.DUMMYFUNCTION("""COMPUTED_VALUE"""),"Абраменко")</f>
        <v>Абраменко</v>
      </c>
      <c r="C363" t="str">
        <f ca="1">IFERROR(__xludf.DUMMYFUNCTION("""COMPUTED_VALUE"""),"Лев")</f>
        <v>Лев</v>
      </c>
      <c r="D363" t="str">
        <f ca="1">IFERROR(__xludf.DUMMYFUNCTION("""COMPUTED_VALUE"""),"Лицей 150")</f>
        <v>Лицей 150</v>
      </c>
      <c r="E363" s="5">
        <f ca="1">IFERROR(__xludf.DUMMYFUNCTION("""COMPUTED_VALUE"""),1)</f>
        <v>1</v>
      </c>
      <c r="F363" s="5">
        <f ca="1">IFERROR(__xludf.DUMMYFUNCTION("""COMPUTED_VALUE"""),0)</f>
        <v>0</v>
      </c>
      <c r="G363" s="5">
        <f ca="1">IFERROR(__xludf.DUMMYFUNCTION("""COMPUTED_VALUE"""),0)</f>
        <v>0</v>
      </c>
      <c r="H363" s="5">
        <f ca="1">IFERROR(__xludf.DUMMYFUNCTION("""COMPUTED_VALUE"""),0)</f>
        <v>0</v>
      </c>
      <c r="I363" s="5">
        <f ca="1">IFERROR(__xludf.DUMMYFUNCTION("""COMPUTED_VALUE"""),0)</f>
        <v>0</v>
      </c>
      <c r="J363" s="5">
        <f ca="1">IFERROR(__xludf.DUMMYFUNCTION("""COMPUTED_VALUE"""),0)</f>
        <v>0</v>
      </c>
      <c r="K363" s="5">
        <f ca="1">IFERROR(__xludf.DUMMYFUNCTION("""COMPUTED_VALUE"""),0)</f>
        <v>0</v>
      </c>
      <c r="L363" s="5">
        <f ca="1">IFERROR(__xludf.DUMMYFUNCTION("""COMPUTED_VALUE"""),1)</f>
        <v>1</v>
      </c>
      <c r="M363">
        <f ca="1">IFERROR(__xludf.DUMMYFUNCTION("""COMPUTED_VALUE"""),2)</f>
        <v>2</v>
      </c>
      <c r="N363" s="8"/>
    </row>
    <row r="364" spans="1:14" ht="12.45" hidden="1">
      <c r="A364" t="str">
        <f ca="1">IFERROR(__xludf.DUMMYFUNCTION("""COMPUTED_VALUE"""),"V-3-394")</f>
        <v>V-3-394</v>
      </c>
      <c r="B364" t="str">
        <f ca="1">IFERROR(__xludf.DUMMYFUNCTION("""COMPUTED_VALUE"""),"Павлов")</f>
        <v>Павлов</v>
      </c>
      <c r="C364" t="str">
        <f ca="1">IFERROR(__xludf.DUMMYFUNCTION("""COMPUTED_VALUE"""),"Александр")</f>
        <v>Александр</v>
      </c>
      <c r="D364" t="str">
        <f ca="1">IFERROR(__xludf.DUMMYFUNCTION("""COMPUTED_VALUE"""),"Лицей 344")</f>
        <v>Лицей 344</v>
      </c>
      <c r="E364" s="5">
        <f ca="1">IFERROR(__xludf.DUMMYFUNCTION("""COMPUTED_VALUE"""),0)</f>
        <v>0</v>
      </c>
      <c r="F364" s="5">
        <f ca="1">IFERROR(__xludf.DUMMYFUNCTION("""COMPUTED_VALUE"""),0)</f>
        <v>0</v>
      </c>
      <c r="G364" s="5">
        <f ca="1">IFERROR(__xludf.DUMMYFUNCTION("""COMPUTED_VALUE"""),2)</f>
        <v>2</v>
      </c>
      <c r="H364" s="5">
        <f ca="1">IFERROR(__xludf.DUMMYFUNCTION("""COMPUTED_VALUE"""),0)</f>
        <v>0</v>
      </c>
      <c r="I364" s="5">
        <f ca="1">IFERROR(__xludf.DUMMYFUNCTION("""COMPUTED_VALUE"""),0)</f>
        <v>0</v>
      </c>
      <c r="J364" s="5">
        <f ca="1">IFERROR(__xludf.DUMMYFUNCTION("""COMPUTED_VALUE"""),0)</f>
        <v>0</v>
      </c>
      <c r="K364" s="5">
        <f ca="1">IFERROR(__xludf.DUMMYFUNCTION("""COMPUTED_VALUE"""),0)</f>
        <v>0</v>
      </c>
      <c r="L364" s="5">
        <f ca="1">IFERROR(__xludf.DUMMYFUNCTION("""COMPUTED_VALUE"""),0)</f>
        <v>0</v>
      </c>
      <c r="M364">
        <f ca="1">IFERROR(__xludf.DUMMYFUNCTION("""COMPUTED_VALUE"""),2)</f>
        <v>2</v>
      </c>
      <c r="N364" s="8"/>
    </row>
    <row r="365" spans="1:14" ht="12.45" hidden="1">
      <c r="A365" t="str">
        <f ca="1">IFERROR(__xludf.DUMMYFUNCTION("""COMPUTED_VALUE"""),"III-3-038")</f>
        <v>III-3-038</v>
      </c>
      <c r="B365" t="str">
        <f ca="1">IFERROR(__xludf.DUMMYFUNCTION("""COMPUTED_VALUE"""),"Бегетов")</f>
        <v>Бегетов</v>
      </c>
      <c r="C365" t="str">
        <f ca="1">IFERROR(__xludf.DUMMYFUNCTION("""COMPUTED_VALUE"""),"Семен")</f>
        <v>Семен</v>
      </c>
      <c r="D365" t="str">
        <f ca="1">IFERROR(__xludf.DUMMYFUNCTION("""COMPUTED_VALUE"""),"Лицей 344")</f>
        <v>Лицей 344</v>
      </c>
      <c r="E365" s="5">
        <f ca="1">IFERROR(__xludf.DUMMYFUNCTION("""COMPUTED_VALUE"""),0)</f>
        <v>0</v>
      </c>
      <c r="F365" s="5">
        <f ca="1">IFERROR(__xludf.DUMMYFUNCTION("""COMPUTED_VALUE"""),1)</f>
        <v>1</v>
      </c>
      <c r="G365" s="5">
        <f ca="1">IFERROR(__xludf.DUMMYFUNCTION("""COMPUTED_VALUE"""),1)</f>
        <v>1</v>
      </c>
      <c r="H365" s="5">
        <f ca="1">IFERROR(__xludf.DUMMYFUNCTION("""COMPUTED_VALUE"""),0)</f>
        <v>0</v>
      </c>
      <c r="I365" s="5">
        <f ca="1">IFERROR(__xludf.DUMMYFUNCTION("""COMPUTED_VALUE"""),0)</f>
        <v>0</v>
      </c>
      <c r="J365" s="5">
        <f ca="1">IFERROR(__xludf.DUMMYFUNCTION("""COMPUTED_VALUE"""),0)</f>
        <v>0</v>
      </c>
      <c r="K365" s="5">
        <f ca="1">IFERROR(__xludf.DUMMYFUNCTION("""COMPUTED_VALUE"""),0)</f>
        <v>0</v>
      </c>
      <c r="L365" s="5">
        <f ca="1">IFERROR(__xludf.DUMMYFUNCTION("""COMPUTED_VALUE"""),0)</f>
        <v>0</v>
      </c>
      <c r="M365">
        <f ca="1">IFERROR(__xludf.DUMMYFUNCTION("""COMPUTED_VALUE"""),2)</f>
        <v>2</v>
      </c>
      <c r="N365" s="8"/>
    </row>
    <row r="366" spans="1:14" ht="12.45" hidden="1">
      <c r="A366" t="str">
        <f ca="1">IFERROR(__xludf.DUMMYFUNCTION("""COMPUTED_VALUE"""),"V-3-391")</f>
        <v>V-3-391</v>
      </c>
      <c r="B366" t="str">
        <f ca="1">IFERROR(__xludf.DUMMYFUNCTION("""COMPUTED_VALUE"""),"Островская")</f>
        <v>Островская</v>
      </c>
      <c r="C366" t="str">
        <f ca="1">IFERROR(__xludf.DUMMYFUNCTION("""COMPUTED_VALUE"""),"Елизавета")</f>
        <v>Елизавета</v>
      </c>
      <c r="D366" t="str">
        <f ca="1">IFERROR(__xludf.DUMMYFUNCTION("""COMPUTED_VALUE"""),"Школа 328")</f>
        <v>Школа 328</v>
      </c>
      <c r="E366" s="5">
        <f ca="1">IFERROR(__xludf.DUMMYFUNCTION("""COMPUTED_VALUE"""),0)</f>
        <v>0</v>
      </c>
      <c r="F366" s="5">
        <f ca="1">IFERROR(__xludf.DUMMYFUNCTION("""COMPUTED_VALUE"""),1)</f>
        <v>1</v>
      </c>
      <c r="G366" s="5">
        <f ca="1">IFERROR(__xludf.DUMMYFUNCTION("""COMPUTED_VALUE"""),1)</f>
        <v>1</v>
      </c>
      <c r="H366" s="5">
        <f ca="1">IFERROR(__xludf.DUMMYFUNCTION("""COMPUTED_VALUE"""),0)</f>
        <v>0</v>
      </c>
      <c r="I366" s="5">
        <f ca="1">IFERROR(__xludf.DUMMYFUNCTION("""COMPUTED_VALUE"""),0)</f>
        <v>0</v>
      </c>
      <c r="J366" s="5">
        <f ca="1">IFERROR(__xludf.DUMMYFUNCTION("""COMPUTED_VALUE"""),0)</f>
        <v>0</v>
      </c>
      <c r="K366" s="5">
        <f ca="1">IFERROR(__xludf.DUMMYFUNCTION("""COMPUTED_VALUE"""),0)</f>
        <v>0</v>
      </c>
      <c r="L366" s="5">
        <f ca="1">IFERROR(__xludf.DUMMYFUNCTION("""COMPUTED_VALUE"""),0)</f>
        <v>0</v>
      </c>
      <c r="M366">
        <f ca="1">IFERROR(__xludf.DUMMYFUNCTION("""COMPUTED_VALUE"""),2)</f>
        <v>2</v>
      </c>
      <c r="N366" s="8"/>
    </row>
    <row r="367" spans="1:14" ht="12.45" hidden="1">
      <c r="A367" t="str">
        <f ca="1">IFERROR(__xludf.DUMMYFUNCTION("""COMPUTED_VALUE"""),"V-3-442")</f>
        <v>V-3-442</v>
      </c>
      <c r="B367" t="str">
        <f ca="1">IFERROR(__xludf.DUMMYFUNCTION("""COMPUTED_VALUE"""),"Ромась")</f>
        <v>Ромась</v>
      </c>
      <c r="C367" t="str">
        <f ca="1">IFERROR(__xludf.DUMMYFUNCTION("""COMPUTED_VALUE"""),"Андрей")</f>
        <v>Андрей</v>
      </c>
      <c r="D367" t="str">
        <f ca="1">IFERROR(__xludf.DUMMYFUNCTION("""COMPUTED_VALUE"""),"Лицей 623")</f>
        <v>Лицей 623</v>
      </c>
      <c r="E367" s="5">
        <f ca="1">IFERROR(__xludf.DUMMYFUNCTION("""COMPUTED_VALUE"""),0)</f>
        <v>0</v>
      </c>
      <c r="F367" s="5">
        <f ca="1">IFERROR(__xludf.DUMMYFUNCTION("""COMPUTED_VALUE"""),0)</f>
        <v>0</v>
      </c>
      <c r="G367" s="5">
        <f ca="1">IFERROR(__xludf.DUMMYFUNCTION("""COMPUTED_VALUE"""),1)</f>
        <v>1</v>
      </c>
      <c r="H367" s="5">
        <f ca="1">IFERROR(__xludf.DUMMYFUNCTION("""COMPUTED_VALUE"""),0)</f>
        <v>0</v>
      </c>
      <c r="I367" s="5">
        <f ca="1">IFERROR(__xludf.DUMMYFUNCTION("""COMPUTED_VALUE"""),0)</f>
        <v>0</v>
      </c>
      <c r="J367" s="5">
        <f ca="1">IFERROR(__xludf.DUMMYFUNCTION("""COMPUTED_VALUE"""),0)</f>
        <v>0</v>
      </c>
      <c r="K367" s="5">
        <f ca="1">IFERROR(__xludf.DUMMYFUNCTION("""COMPUTED_VALUE"""),0)</f>
        <v>0</v>
      </c>
      <c r="L367" s="5">
        <f ca="1">IFERROR(__xludf.DUMMYFUNCTION("""COMPUTED_VALUE"""),1)</f>
        <v>1</v>
      </c>
      <c r="M367">
        <f ca="1">IFERROR(__xludf.DUMMYFUNCTION("""COMPUTED_VALUE"""),2)</f>
        <v>2</v>
      </c>
      <c r="N367" s="8"/>
    </row>
    <row r="368" spans="1:14" ht="12.45" hidden="1">
      <c r="A368" t="str">
        <f ca="1">IFERROR(__xludf.DUMMYFUNCTION("""COMPUTED_VALUE"""),"III-3-043")</f>
        <v>III-3-043</v>
      </c>
      <c r="B368" t="str">
        <f ca="1">IFERROR(__xludf.DUMMYFUNCTION("""COMPUTED_VALUE"""),"Бенедик")</f>
        <v>Бенедик</v>
      </c>
      <c r="C368" t="str">
        <f ca="1">IFERROR(__xludf.DUMMYFUNCTION("""COMPUTED_VALUE"""),"Ярослав")</f>
        <v>Ярослав</v>
      </c>
      <c r="D368" t="str">
        <f ca="1">IFERROR(__xludf.DUMMYFUNCTION("""COMPUTED_VALUE"""),"Школа 454")</f>
        <v>Школа 454</v>
      </c>
      <c r="E368" s="5">
        <f ca="1">IFERROR(__xludf.DUMMYFUNCTION("""COMPUTED_VALUE"""),0)</f>
        <v>0</v>
      </c>
      <c r="F368" s="5">
        <f ca="1">IFERROR(__xludf.DUMMYFUNCTION("""COMPUTED_VALUE"""),0)</f>
        <v>0</v>
      </c>
      <c r="G368" s="5">
        <f ca="1">IFERROR(__xludf.DUMMYFUNCTION("""COMPUTED_VALUE"""),0)</f>
        <v>0</v>
      </c>
      <c r="H368" s="5">
        <f ca="1">IFERROR(__xludf.DUMMYFUNCTION("""COMPUTED_VALUE"""),0)</f>
        <v>0</v>
      </c>
      <c r="I368" s="5">
        <f ca="1">IFERROR(__xludf.DUMMYFUNCTION("""COMPUTED_VALUE"""),1)</f>
        <v>1</v>
      </c>
      <c r="J368" s="5">
        <f ca="1">IFERROR(__xludf.DUMMYFUNCTION("""COMPUTED_VALUE"""),0)</f>
        <v>0</v>
      </c>
      <c r="K368" s="5">
        <f ca="1">IFERROR(__xludf.DUMMYFUNCTION("""COMPUTED_VALUE"""),0)</f>
        <v>0</v>
      </c>
      <c r="L368" s="5">
        <f ca="1">IFERROR(__xludf.DUMMYFUNCTION("""COMPUTED_VALUE"""),0)</f>
        <v>0</v>
      </c>
      <c r="M368">
        <f ca="1">IFERROR(__xludf.DUMMYFUNCTION("""COMPUTED_VALUE"""),1)</f>
        <v>1</v>
      </c>
      <c r="N368" s="8"/>
    </row>
    <row r="369" spans="1:14" ht="12.45" hidden="1">
      <c r="A369" t="str">
        <f ca="1">IFERROR(__xludf.DUMMYFUNCTION("""COMPUTED_VALUE"""),"III-3-262")</f>
        <v>III-3-262</v>
      </c>
      <c r="B369" t="str">
        <f ca="1">IFERROR(__xludf.DUMMYFUNCTION("""COMPUTED_VALUE"""),"Кулик")</f>
        <v>Кулик</v>
      </c>
      <c r="C369" t="str">
        <f ca="1">IFERROR(__xludf.DUMMYFUNCTION("""COMPUTED_VALUE"""),"Антон")</f>
        <v>Антон</v>
      </c>
      <c r="D369" t="str">
        <f ca="1">IFERROR(__xludf.DUMMYFUNCTION("""COMPUTED_VALUE"""),"Школа 521")</f>
        <v>Школа 521</v>
      </c>
      <c r="E369" s="5">
        <f ca="1">IFERROR(__xludf.DUMMYFUNCTION("""COMPUTED_VALUE"""),0)</f>
        <v>0</v>
      </c>
      <c r="F369" s="5">
        <f ca="1">IFERROR(__xludf.DUMMYFUNCTION("""COMPUTED_VALUE"""),0)</f>
        <v>0</v>
      </c>
      <c r="G369" s="5">
        <f ca="1">IFERROR(__xludf.DUMMYFUNCTION("""COMPUTED_VALUE"""),0)</f>
        <v>0</v>
      </c>
      <c r="H369" s="5">
        <f ca="1">IFERROR(__xludf.DUMMYFUNCTION("""COMPUTED_VALUE"""),0)</f>
        <v>0</v>
      </c>
      <c r="I369" s="5">
        <f ca="1">IFERROR(__xludf.DUMMYFUNCTION("""COMPUTED_VALUE"""),0)</f>
        <v>0</v>
      </c>
      <c r="J369" s="5">
        <f ca="1">IFERROR(__xludf.DUMMYFUNCTION("""COMPUTED_VALUE"""),1)</f>
        <v>1</v>
      </c>
      <c r="K369" s="5">
        <f ca="1">IFERROR(__xludf.DUMMYFUNCTION("""COMPUTED_VALUE"""),0)</f>
        <v>0</v>
      </c>
      <c r="L369" s="5">
        <f ca="1">IFERROR(__xludf.DUMMYFUNCTION("""COMPUTED_VALUE"""),0)</f>
        <v>0</v>
      </c>
      <c r="M369">
        <f ca="1">IFERROR(__xludf.DUMMYFUNCTION("""COMPUTED_VALUE"""),1)</f>
        <v>1</v>
      </c>
      <c r="N369" s="8"/>
    </row>
    <row r="370" spans="1:14" ht="12.45" hidden="1">
      <c r="A370" t="str">
        <f ca="1">IFERROR(__xludf.DUMMYFUNCTION("""COMPUTED_VALUE"""),"V-3-500")</f>
        <v>V-3-500</v>
      </c>
      <c r="B370" t="str">
        <f ca="1">IFERROR(__xludf.DUMMYFUNCTION("""COMPUTED_VALUE"""),"Стэнсмоур")</f>
        <v>Стэнсмоур</v>
      </c>
      <c r="C370" t="str">
        <f ca="1">IFERROR(__xludf.DUMMYFUNCTION("""COMPUTED_VALUE"""),"Теодор-Томас")</f>
        <v>Теодор-Томас</v>
      </c>
      <c r="D370" t="str">
        <f ca="1">IFERROR(__xludf.DUMMYFUNCTION("""COMPUTED_VALUE"""),"Гимназия Альма Матер")</f>
        <v>Гимназия Альма Матер</v>
      </c>
      <c r="E370" s="5">
        <f ca="1">IFERROR(__xludf.DUMMYFUNCTION("""COMPUTED_VALUE"""),0)</f>
        <v>0</v>
      </c>
      <c r="F370" s="5">
        <f ca="1">IFERROR(__xludf.DUMMYFUNCTION("""COMPUTED_VALUE"""),0)</f>
        <v>0</v>
      </c>
      <c r="G370" s="5">
        <f ca="1">IFERROR(__xludf.DUMMYFUNCTION("""COMPUTED_VALUE"""),1)</f>
        <v>1</v>
      </c>
      <c r="H370" s="5">
        <f ca="1">IFERROR(__xludf.DUMMYFUNCTION("""COMPUTED_VALUE"""),0)</f>
        <v>0</v>
      </c>
      <c r="I370" s="5">
        <f ca="1">IFERROR(__xludf.DUMMYFUNCTION("""COMPUTED_VALUE"""),0)</f>
        <v>0</v>
      </c>
      <c r="J370" s="5">
        <f ca="1">IFERROR(__xludf.DUMMYFUNCTION("""COMPUTED_VALUE"""),0)</f>
        <v>0</v>
      </c>
      <c r="K370" s="5">
        <f ca="1">IFERROR(__xludf.DUMMYFUNCTION("""COMPUTED_VALUE"""),0)</f>
        <v>0</v>
      </c>
      <c r="L370" s="5">
        <f ca="1">IFERROR(__xludf.DUMMYFUNCTION("""COMPUTED_VALUE"""),0)</f>
        <v>0</v>
      </c>
      <c r="M370">
        <f ca="1">IFERROR(__xludf.DUMMYFUNCTION("""COMPUTED_VALUE"""),1)</f>
        <v>1</v>
      </c>
      <c r="N370" s="8"/>
    </row>
    <row r="371" spans="1:14" ht="12.45" hidden="1">
      <c r="A371" t="str">
        <f ca="1">IFERROR(__xludf.DUMMYFUNCTION("""COMPUTED_VALUE"""),"V-3-385")</f>
        <v>V-3-385</v>
      </c>
      <c r="B371" t="str">
        <f ca="1">IFERROR(__xludf.DUMMYFUNCTION("""COMPUTED_VALUE"""),"Омельченко")</f>
        <v>Омельченко</v>
      </c>
      <c r="C371" t="str">
        <f ca="1">IFERROR(__xludf.DUMMYFUNCTION("""COMPUTED_VALUE"""),"Егор")</f>
        <v>Егор</v>
      </c>
      <c r="D371" t="str">
        <f ca="1">IFERROR(__xludf.DUMMYFUNCTION("""COMPUTED_VALUE"""),"Школа 306")</f>
        <v>Школа 306</v>
      </c>
      <c r="E371" s="5">
        <f ca="1">IFERROR(__xludf.DUMMYFUNCTION("""COMPUTED_VALUE"""),0)</f>
        <v>0</v>
      </c>
      <c r="F371" s="5">
        <f ca="1">IFERROR(__xludf.DUMMYFUNCTION("""COMPUTED_VALUE"""),0)</f>
        <v>0</v>
      </c>
      <c r="G371" s="5">
        <f ca="1">IFERROR(__xludf.DUMMYFUNCTION("""COMPUTED_VALUE"""),0)</f>
        <v>0</v>
      </c>
      <c r="H371" s="5">
        <f ca="1">IFERROR(__xludf.DUMMYFUNCTION("""COMPUTED_VALUE"""),0)</f>
        <v>0</v>
      </c>
      <c r="I371" s="5">
        <f ca="1">IFERROR(__xludf.DUMMYFUNCTION("""COMPUTED_VALUE"""),0)</f>
        <v>0</v>
      </c>
      <c r="J371" s="5">
        <f ca="1">IFERROR(__xludf.DUMMYFUNCTION("""COMPUTED_VALUE"""),0)</f>
        <v>0</v>
      </c>
      <c r="K371" s="5">
        <f ca="1">IFERROR(__xludf.DUMMYFUNCTION("""COMPUTED_VALUE"""),0)</f>
        <v>0</v>
      </c>
      <c r="L371" s="5">
        <f ca="1">IFERROR(__xludf.DUMMYFUNCTION("""COMPUTED_VALUE"""),1)</f>
        <v>1</v>
      </c>
      <c r="M371">
        <f ca="1">IFERROR(__xludf.DUMMYFUNCTION("""COMPUTED_VALUE"""),1)</f>
        <v>1</v>
      </c>
      <c r="N371" s="8"/>
    </row>
    <row r="372" spans="1:14" ht="12.45" hidden="1">
      <c r="A372" t="str">
        <f ca="1">IFERROR(__xludf.DUMMYFUNCTION("""COMPUTED_VALUE"""),"V-3-371")</f>
        <v>V-3-371</v>
      </c>
      <c r="B372" t="str">
        <f ca="1">IFERROR(__xludf.DUMMYFUNCTION("""COMPUTED_VALUE"""),"Никульшин")</f>
        <v>Никульшин</v>
      </c>
      <c r="C372" t="str">
        <f ca="1">IFERROR(__xludf.DUMMYFUNCTION("""COMPUTED_VALUE"""),"Владислав")</f>
        <v>Владислав</v>
      </c>
      <c r="D372" t="str">
        <f ca="1">IFERROR(__xludf.DUMMYFUNCTION("""COMPUTED_VALUE"""),"Школа 347")</f>
        <v>Школа 347</v>
      </c>
      <c r="E372" s="5">
        <f ca="1">IFERROR(__xludf.DUMMYFUNCTION("""COMPUTED_VALUE"""),0)</f>
        <v>0</v>
      </c>
      <c r="F372" s="5">
        <f ca="1">IFERROR(__xludf.DUMMYFUNCTION("""COMPUTED_VALUE"""),0)</f>
        <v>0</v>
      </c>
      <c r="G372" s="5">
        <f ca="1">IFERROR(__xludf.DUMMYFUNCTION("""COMPUTED_VALUE"""),0)</f>
        <v>0</v>
      </c>
      <c r="H372" s="5">
        <f ca="1">IFERROR(__xludf.DUMMYFUNCTION("""COMPUTED_VALUE"""),0)</f>
        <v>0</v>
      </c>
      <c r="I372" s="5">
        <f ca="1">IFERROR(__xludf.DUMMYFUNCTION("""COMPUTED_VALUE"""),0)</f>
        <v>0</v>
      </c>
      <c r="J372" s="5">
        <f ca="1">IFERROR(__xludf.DUMMYFUNCTION("""COMPUTED_VALUE"""),0)</f>
        <v>0</v>
      </c>
      <c r="K372" s="5">
        <f ca="1">IFERROR(__xludf.DUMMYFUNCTION("""COMPUTED_VALUE"""),0)</f>
        <v>0</v>
      </c>
      <c r="L372" s="5">
        <f ca="1">IFERROR(__xludf.DUMMYFUNCTION("""COMPUTED_VALUE"""),1)</f>
        <v>1</v>
      </c>
      <c r="M372">
        <f ca="1">IFERROR(__xludf.DUMMYFUNCTION("""COMPUTED_VALUE"""),1)</f>
        <v>1</v>
      </c>
      <c r="N372" s="8"/>
    </row>
    <row r="373" spans="1:14" ht="12.45" hidden="1">
      <c r="A373" t="str">
        <f ca="1">IFERROR(__xludf.DUMMYFUNCTION("""COMPUTED_VALUE"""),"V-3-392")</f>
        <v>V-3-392</v>
      </c>
      <c r="B373" t="str">
        <f ca="1">IFERROR(__xludf.DUMMYFUNCTION("""COMPUTED_VALUE"""),"Очкасов")</f>
        <v>Очкасов</v>
      </c>
      <c r="C373" t="str">
        <f ca="1">IFERROR(__xludf.DUMMYFUNCTION("""COMPUTED_VALUE"""),"Андрей")</f>
        <v>Андрей</v>
      </c>
      <c r="D373" t="str">
        <f ca="1">IFERROR(__xludf.DUMMYFUNCTION("""COMPUTED_VALUE"""),"Школа 557")</f>
        <v>Школа 557</v>
      </c>
      <c r="E373" s="5">
        <f ca="1">IFERROR(__xludf.DUMMYFUNCTION("""COMPUTED_VALUE"""),0)</f>
        <v>0</v>
      </c>
      <c r="F373" s="5">
        <f ca="1">IFERROR(__xludf.DUMMYFUNCTION("""COMPUTED_VALUE"""),0)</f>
        <v>0</v>
      </c>
      <c r="G373" s="5">
        <f ca="1">IFERROR(__xludf.DUMMYFUNCTION("""COMPUTED_VALUE"""),1)</f>
        <v>1</v>
      </c>
      <c r="H373" s="5">
        <f ca="1">IFERROR(__xludf.DUMMYFUNCTION("""COMPUTED_VALUE"""),0)</f>
        <v>0</v>
      </c>
      <c r="I373" s="5">
        <f ca="1">IFERROR(__xludf.DUMMYFUNCTION("""COMPUTED_VALUE"""),0)</f>
        <v>0</v>
      </c>
      <c r="J373" s="5">
        <f ca="1">IFERROR(__xludf.DUMMYFUNCTION("""COMPUTED_VALUE"""),0)</f>
        <v>0</v>
      </c>
      <c r="K373" s="5">
        <f ca="1">IFERROR(__xludf.DUMMYFUNCTION("""COMPUTED_VALUE"""),0)</f>
        <v>0</v>
      </c>
      <c r="L373" s="5">
        <f ca="1">IFERROR(__xludf.DUMMYFUNCTION("""COMPUTED_VALUE"""),0)</f>
        <v>0</v>
      </c>
      <c r="M373">
        <f ca="1">IFERROR(__xludf.DUMMYFUNCTION("""COMPUTED_VALUE"""),1)</f>
        <v>1</v>
      </c>
      <c r="N373" s="8"/>
    </row>
    <row r="374" spans="1:14" ht="12.45" hidden="1">
      <c r="A374" t="str">
        <f ca="1">IFERROR(__xludf.DUMMYFUNCTION("""COMPUTED_VALUE"""),"V-3-374")</f>
        <v>V-3-374</v>
      </c>
      <c r="B374" t="str">
        <f ca="1">IFERROR(__xludf.DUMMYFUNCTION("""COMPUTED_VALUE"""),"Новожилов")</f>
        <v>Новожилов</v>
      </c>
      <c r="C374" t="str">
        <f ca="1">IFERROR(__xludf.DUMMYFUNCTION("""COMPUTED_VALUE"""),"Ярослав")</f>
        <v>Ярослав</v>
      </c>
      <c r="D374" t="str">
        <f ca="1">IFERROR(__xludf.DUMMYFUNCTION("""COMPUTED_VALUE"""),"Гимназия 261")</f>
        <v>Гимназия 261</v>
      </c>
      <c r="E374" s="5">
        <f ca="1">IFERROR(__xludf.DUMMYFUNCTION("""COMPUTED_VALUE"""),0)</f>
        <v>0</v>
      </c>
      <c r="F374" s="5">
        <f ca="1">IFERROR(__xludf.DUMMYFUNCTION("""COMPUTED_VALUE"""),1)</f>
        <v>1</v>
      </c>
      <c r="G374" s="5">
        <f ca="1">IFERROR(__xludf.DUMMYFUNCTION("""COMPUTED_VALUE"""),0)</f>
        <v>0</v>
      </c>
      <c r="H374" s="5">
        <f ca="1">IFERROR(__xludf.DUMMYFUNCTION("""COMPUTED_VALUE"""),0)</f>
        <v>0</v>
      </c>
      <c r="I374" s="5">
        <f ca="1">IFERROR(__xludf.DUMMYFUNCTION("""COMPUTED_VALUE"""),0)</f>
        <v>0</v>
      </c>
      <c r="J374" s="5">
        <f ca="1">IFERROR(__xludf.DUMMYFUNCTION("""COMPUTED_VALUE"""),0)</f>
        <v>0</v>
      </c>
      <c r="K374" s="5">
        <f ca="1">IFERROR(__xludf.DUMMYFUNCTION("""COMPUTED_VALUE"""),0)</f>
        <v>0</v>
      </c>
      <c r="L374" s="5">
        <f ca="1">IFERROR(__xludf.DUMMYFUNCTION("""COMPUTED_VALUE"""),0)</f>
        <v>0</v>
      </c>
      <c r="M374">
        <f ca="1">IFERROR(__xludf.DUMMYFUNCTION("""COMPUTED_VALUE"""),1)</f>
        <v>1</v>
      </c>
      <c r="N374" s="8"/>
    </row>
    <row r="375" spans="1:14" ht="12.45" hidden="1">
      <c r="A375" t="str">
        <f ca="1">IFERROR(__xludf.DUMMYFUNCTION("""COMPUTED_VALUE"""),"III-3-007")</f>
        <v>III-3-007</v>
      </c>
      <c r="B375" t="str">
        <f ca="1">IFERROR(__xludf.DUMMYFUNCTION("""COMPUTED_VALUE"""),"Акст")</f>
        <v>Акст</v>
      </c>
      <c r="C375" t="str">
        <f ca="1">IFERROR(__xludf.DUMMYFUNCTION("""COMPUTED_VALUE"""),"Александра")</f>
        <v>Александра</v>
      </c>
      <c r="D375" t="str">
        <f ca="1">IFERROR(__xludf.DUMMYFUNCTION("""COMPUTED_VALUE"""),"Школа 13")</f>
        <v>Школа 13</v>
      </c>
      <c r="E375" s="5">
        <f ca="1">IFERROR(__xludf.DUMMYFUNCTION("""COMPUTED_VALUE"""),1)</f>
        <v>1</v>
      </c>
      <c r="F375" s="5">
        <f ca="1">IFERROR(__xludf.DUMMYFUNCTION("""COMPUTED_VALUE"""),0)</f>
        <v>0</v>
      </c>
      <c r="G375" s="5">
        <f ca="1">IFERROR(__xludf.DUMMYFUNCTION("""COMPUTED_VALUE"""),0)</f>
        <v>0</v>
      </c>
      <c r="H375" s="5">
        <f ca="1">IFERROR(__xludf.DUMMYFUNCTION("""COMPUTED_VALUE"""),0)</f>
        <v>0</v>
      </c>
      <c r="I375" s="5">
        <f ca="1">IFERROR(__xludf.DUMMYFUNCTION("""COMPUTED_VALUE"""),0)</f>
        <v>0</v>
      </c>
      <c r="J375" s="5">
        <f ca="1">IFERROR(__xludf.DUMMYFUNCTION("""COMPUTED_VALUE"""),0)</f>
        <v>0</v>
      </c>
      <c r="K375" s="5">
        <f ca="1">IFERROR(__xludf.DUMMYFUNCTION("""COMPUTED_VALUE"""),0)</f>
        <v>0</v>
      </c>
      <c r="L375" s="5">
        <f ca="1">IFERROR(__xludf.DUMMYFUNCTION("""COMPUTED_VALUE"""),0)</f>
        <v>0</v>
      </c>
      <c r="M375">
        <f ca="1">IFERROR(__xludf.DUMMYFUNCTION("""COMPUTED_VALUE"""),1)</f>
        <v>1</v>
      </c>
      <c r="N375" s="8"/>
    </row>
    <row r="376" spans="1:14" ht="12.45" hidden="1">
      <c r="A376" t="str">
        <f ca="1">IFERROR(__xludf.DUMMYFUNCTION("""COMPUTED_VALUE"""),"III-3-148")</f>
        <v>III-3-148</v>
      </c>
      <c r="B376" t="str">
        <f ca="1">IFERROR(__xludf.DUMMYFUNCTION("""COMPUTED_VALUE"""),"Жарова")</f>
        <v>Жарова</v>
      </c>
      <c r="C376" t="str">
        <f ca="1">IFERROR(__xludf.DUMMYFUNCTION("""COMPUTED_VALUE"""),"Кира")</f>
        <v>Кира</v>
      </c>
      <c r="D376" t="str">
        <f ca="1">IFERROR(__xludf.DUMMYFUNCTION("""COMPUTED_VALUE"""),"Гимназия 524")</f>
        <v>Гимназия 524</v>
      </c>
      <c r="E376" s="5">
        <f ca="1">IFERROR(__xludf.DUMMYFUNCTION("""COMPUTED_VALUE"""),0)</f>
        <v>0</v>
      </c>
      <c r="F376" s="5">
        <f ca="1">IFERROR(__xludf.DUMMYFUNCTION("""COMPUTED_VALUE"""),0)</f>
        <v>0</v>
      </c>
      <c r="G376" s="5">
        <f ca="1">IFERROR(__xludf.DUMMYFUNCTION("""COMPUTED_VALUE"""),0)</f>
        <v>0</v>
      </c>
      <c r="H376" s="5">
        <f ca="1">IFERROR(__xludf.DUMMYFUNCTION("""COMPUTED_VALUE"""),0)</f>
        <v>0</v>
      </c>
      <c r="I376" s="5">
        <f ca="1">IFERROR(__xludf.DUMMYFUNCTION("""COMPUTED_VALUE"""),0)</f>
        <v>0</v>
      </c>
      <c r="J376" s="5">
        <f ca="1">IFERROR(__xludf.DUMMYFUNCTION("""COMPUTED_VALUE"""),1)</f>
        <v>1</v>
      </c>
      <c r="K376" s="5">
        <f ca="1">IFERROR(__xludf.DUMMYFUNCTION("""COMPUTED_VALUE"""),0)</f>
        <v>0</v>
      </c>
      <c r="L376" s="5">
        <f ca="1">IFERROR(__xludf.DUMMYFUNCTION("""COMPUTED_VALUE"""),0)</f>
        <v>0</v>
      </c>
      <c r="M376">
        <f ca="1">IFERROR(__xludf.DUMMYFUNCTION("""COMPUTED_VALUE"""),1)</f>
        <v>1</v>
      </c>
      <c r="N376" s="8"/>
    </row>
    <row r="377" spans="1:14" ht="12.45" hidden="1">
      <c r="A377" t="str">
        <f ca="1">IFERROR(__xludf.DUMMYFUNCTION("""COMPUTED_VALUE"""),"V-3-318")</f>
        <v>V-3-318</v>
      </c>
      <c r="B377" t="str">
        <f ca="1">IFERROR(__xludf.DUMMYFUNCTION("""COMPUTED_VALUE"""),"Маркова")</f>
        <v>Маркова</v>
      </c>
      <c r="C377" t="str">
        <f ca="1">IFERROR(__xludf.DUMMYFUNCTION("""COMPUTED_VALUE"""),"Варвара")</f>
        <v>Варвара</v>
      </c>
      <c r="D377" t="str">
        <f ca="1">IFERROR(__xludf.DUMMYFUNCTION("""COMPUTED_VALUE"""),"Лицей 101")</f>
        <v>Лицей 101</v>
      </c>
      <c r="E377" s="5">
        <f ca="1">IFERROR(__xludf.DUMMYFUNCTION("""COMPUTED_VALUE"""),0)</f>
        <v>0</v>
      </c>
      <c r="F377" s="5">
        <f ca="1">IFERROR(__xludf.DUMMYFUNCTION("""COMPUTED_VALUE"""),0)</f>
        <v>0</v>
      </c>
      <c r="G377" s="5">
        <f ca="1">IFERROR(__xludf.DUMMYFUNCTION("""COMPUTED_VALUE"""),1)</f>
        <v>1</v>
      </c>
      <c r="H377" s="5">
        <f ca="1">IFERROR(__xludf.DUMMYFUNCTION("""COMPUTED_VALUE"""),0)</f>
        <v>0</v>
      </c>
      <c r="I377" s="5">
        <f ca="1">IFERROR(__xludf.DUMMYFUNCTION("""COMPUTED_VALUE"""),0)</f>
        <v>0</v>
      </c>
      <c r="J377" s="5">
        <f ca="1">IFERROR(__xludf.DUMMYFUNCTION("""COMPUTED_VALUE"""),0)</f>
        <v>0</v>
      </c>
      <c r="K377" s="5">
        <f ca="1">IFERROR(__xludf.DUMMYFUNCTION("""COMPUTED_VALUE"""),0)</f>
        <v>0</v>
      </c>
      <c r="L377" s="5">
        <f ca="1">IFERROR(__xludf.DUMMYFUNCTION("""COMPUTED_VALUE"""),0)</f>
        <v>0</v>
      </c>
      <c r="M377">
        <f ca="1">IFERROR(__xludf.DUMMYFUNCTION("""COMPUTED_VALUE"""),1)</f>
        <v>1</v>
      </c>
      <c r="N377" s="8"/>
    </row>
    <row r="378" spans="1:14" ht="12.45" hidden="1">
      <c r="A378" t="str">
        <f ca="1">IFERROR(__xludf.DUMMYFUNCTION("""COMPUTED_VALUE"""),"V-3-495")</f>
        <v>V-3-495</v>
      </c>
      <c r="B378" t="str">
        <f ca="1">IFERROR(__xludf.DUMMYFUNCTION("""COMPUTED_VALUE"""),"Соломко")</f>
        <v>Соломко</v>
      </c>
      <c r="C378" t="str">
        <f ca="1">IFERROR(__xludf.DUMMYFUNCTION("""COMPUTED_VALUE"""),"Виктория")</f>
        <v>Виктория</v>
      </c>
      <c r="D378" t="str">
        <f ca="1">IFERROR(__xludf.DUMMYFUNCTION("""COMPUTED_VALUE"""),"Лицей 101")</f>
        <v>Лицей 101</v>
      </c>
      <c r="E378" s="5">
        <f ca="1">IFERROR(__xludf.DUMMYFUNCTION("""COMPUTED_VALUE"""),0)</f>
        <v>0</v>
      </c>
      <c r="F378" s="5">
        <f ca="1">IFERROR(__xludf.DUMMYFUNCTION("""COMPUTED_VALUE"""),0)</f>
        <v>0</v>
      </c>
      <c r="G378" s="5">
        <f ca="1">IFERROR(__xludf.DUMMYFUNCTION("""COMPUTED_VALUE"""),1)</f>
        <v>1</v>
      </c>
      <c r="H378" s="5">
        <f ca="1">IFERROR(__xludf.DUMMYFUNCTION("""COMPUTED_VALUE"""),0)</f>
        <v>0</v>
      </c>
      <c r="I378" s="5">
        <f ca="1">IFERROR(__xludf.DUMMYFUNCTION("""COMPUTED_VALUE"""),0)</f>
        <v>0</v>
      </c>
      <c r="J378" s="5">
        <f ca="1">IFERROR(__xludf.DUMMYFUNCTION("""COMPUTED_VALUE"""),0)</f>
        <v>0</v>
      </c>
      <c r="K378" s="5">
        <f ca="1">IFERROR(__xludf.DUMMYFUNCTION("""COMPUTED_VALUE"""),0)</f>
        <v>0</v>
      </c>
      <c r="L378" s="5">
        <f ca="1">IFERROR(__xludf.DUMMYFUNCTION("""COMPUTED_VALUE"""),0)</f>
        <v>0</v>
      </c>
      <c r="M378">
        <f ca="1">IFERROR(__xludf.DUMMYFUNCTION("""COMPUTED_VALUE"""),1)</f>
        <v>1</v>
      </c>
      <c r="N378" s="8"/>
    </row>
    <row r="379" spans="1:14" ht="12.45" hidden="1">
      <c r="A379" t="str">
        <f ca="1">IFERROR(__xludf.DUMMYFUNCTION("""COMPUTED_VALUE"""),"III-3-272")</f>
        <v>III-3-272</v>
      </c>
      <c r="B379" t="str">
        <f ca="1">IFERROR(__xludf.DUMMYFUNCTION("""COMPUTED_VALUE"""),"Куцыба")</f>
        <v>Куцыба</v>
      </c>
      <c r="C379" t="str">
        <f ca="1">IFERROR(__xludf.DUMMYFUNCTION("""COMPUTED_VALUE"""),"Максим")</f>
        <v>Максим</v>
      </c>
      <c r="D379" t="str">
        <f ca="1">IFERROR(__xludf.DUMMYFUNCTION("""COMPUTED_VALUE"""),"Лицей 344")</f>
        <v>Лицей 344</v>
      </c>
      <c r="E379" s="5">
        <f ca="1">IFERROR(__xludf.DUMMYFUNCTION("""COMPUTED_VALUE"""),0)</f>
        <v>0</v>
      </c>
      <c r="F379" s="5">
        <f ca="1">IFERROR(__xludf.DUMMYFUNCTION("""COMPUTED_VALUE"""),0)</f>
        <v>0</v>
      </c>
      <c r="G379" s="5">
        <f ca="1">IFERROR(__xludf.DUMMYFUNCTION("""COMPUTED_VALUE"""),1)</f>
        <v>1</v>
      </c>
      <c r="H379" s="5">
        <f ca="1">IFERROR(__xludf.DUMMYFUNCTION("""COMPUTED_VALUE"""),0)</f>
        <v>0</v>
      </c>
      <c r="I379" s="5">
        <f ca="1">IFERROR(__xludf.DUMMYFUNCTION("""COMPUTED_VALUE"""),0)</f>
        <v>0</v>
      </c>
      <c r="J379" s="5">
        <f ca="1">IFERROR(__xludf.DUMMYFUNCTION("""COMPUTED_VALUE"""),0)</f>
        <v>0</v>
      </c>
      <c r="K379" s="5">
        <f ca="1">IFERROR(__xludf.DUMMYFUNCTION("""COMPUTED_VALUE"""),0)</f>
        <v>0</v>
      </c>
      <c r="L379" s="5">
        <f ca="1">IFERROR(__xludf.DUMMYFUNCTION("""COMPUTED_VALUE"""),0)</f>
        <v>0</v>
      </c>
      <c r="M379">
        <f ca="1">IFERROR(__xludf.DUMMYFUNCTION("""COMPUTED_VALUE"""),1)</f>
        <v>1</v>
      </c>
      <c r="N379" s="8"/>
    </row>
    <row r="380" spans="1:14" ht="12.45" hidden="1">
      <c r="A380" t="str">
        <f ca="1">IFERROR(__xludf.DUMMYFUNCTION("""COMPUTED_VALUE"""),"V-3-388")</f>
        <v>V-3-388</v>
      </c>
      <c r="B380" t="str">
        <f ca="1">IFERROR(__xludf.DUMMYFUNCTION("""COMPUTED_VALUE"""),"Орлов")</f>
        <v>Орлов</v>
      </c>
      <c r="C380" t="str">
        <f ca="1">IFERROR(__xludf.DUMMYFUNCTION("""COMPUTED_VALUE"""),"Михаил")</f>
        <v>Михаил</v>
      </c>
      <c r="D380" t="str">
        <f ca="1">IFERROR(__xludf.DUMMYFUNCTION("""COMPUTED_VALUE"""),"Лицей 344")</f>
        <v>Лицей 344</v>
      </c>
      <c r="E380" s="5">
        <f ca="1">IFERROR(__xludf.DUMMYFUNCTION("""COMPUTED_VALUE"""),0)</f>
        <v>0</v>
      </c>
      <c r="F380" s="5">
        <f ca="1">IFERROR(__xludf.DUMMYFUNCTION("""COMPUTED_VALUE"""),0)</f>
        <v>0</v>
      </c>
      <c r="G380" s="5">
        <f ca="1">IFERROR(__xludf.DUMMYFUNCTION("""COMPUTED_VALUE"""),1)</f>
        <v>1</v>
      </c>
      <c r="H380" s="5">
        <f ca="1">IFERROR(__xludf.DUMMYFUNCTION("""COMPUTED_VALUE"""),0)</f>
        <v>0</v>
      </c>
      <c r="I380" s="5">
        <f ca="1">IFERROR(__xludf.DUMMYFUNCTION("""COMPUTED_VALUE"""),0)</f>
        <v>0</v>
      </c>
      <c r="J380" s="5">
        <f ca="1">IFERROR(__xludf.DUMMYFUNCTION("""COMPUTED_VALUE"""),0)</f>
        <v>0</v>
      </c>
      <c r="K380" s="5">
        <f ca="1">IFERROR(__xludf.DUMMYFUNCTION("""COMPUTED_VALUE"""),0)</f>
        <v>0</v>
      </c>
      <c r="L380" s="5">
        <f ca="1">IFERROR(__xludf.DUMMYFUNCTION("""COMPUTED_VALUE"""),0)</f>
        <v>0</v>
      </c>
      <c r="M380">
        <f ca="1">IFERROR(__xludf.DUMMYFUNCTION("""COMPUTED_VALUE"""),1)</f>
        <v>1</v>
      </c>
      <c r="N380" s="8"/>
    </row>
    <row r="381" spans="1:14" ht="12.45" hidden="1">
      <c r="A381" t="str">
        <f ca="1">IFERROR(__xludf.DUMMYFUNCTION("""COMPUTED_VALUE"""),"V-3-359")</f>
        <v>V-3-359</v>
      </c>
      <c r="B381" t="str">
        <f ca="1">IFERROR(__xludf.DUMMYFUNCTION("""COMPUTED_VALUE"""),"Намитов")</f>
        <v>Намитов</v>
      </c>
      <c r="C381" t="str">
        <f ca="1">IFERROR(__xludf.DUMMYFUNCTION("""COMPUTED_VALUE"""),"Ярослав")</f>
        <v>Ярослав</v>
      </c>
      <c r="D381" t="str">
        <f ca="1">IFERROR(__xludf.DUMMYFUNCTION("""COMPUTED_VALUE"""),"Лицей 470")</f>
        <v>Лицей 470</v>
      </c>
      <c r="E381" s="5">
        <f ca="1">IFERROR(__xludf.DUMMYFUNCTION("""COMPUTED_VALUE"""),0)</f>
        <v>0</v>
      </c>
      <c r="F381" s="5">
        <f ca="1">IFERROR(__xludf.DUMMYFUNCTION("""COMPUTED_VALUE"""),0)</f>
        <v>0</v>
      </c>
      <c r="G381" s="5">
        <f ca="1">IFERROR(__xludf.DUMMYFUNCTION("""COMPUTED_VALUE"""),1)</f>
        <v>1</v>
      </c>
      <c r="H381" s="5">
        <f ca="1">IFERROR(__xludf.DUMMYFUNCTION("""COMPUTED_VALUE"""),0)</f>
        <v>0</v>
      </c>
      <c r="I381" s="5">
        <f ca="1">IFERROR(__xludf.DUMMYFUNCTION("""COMPUTED_VALUE"""),0)</f>
        <v>0</v>
      </c>
      <c r="J381" s="5">
        <f ca="1">IFERROR(__xludf.DUMMYFUNCTION("""COMPUTED_VALUE"""),0)</f>
        <v>0</v>
      </c>
      <c r="K381" s="5">
        <f ca="1">IFERROR(__xludf.DUMMYFUNCTION("""COMPUTED_VALUE"""),0)</f>
        <v>0</v>
      </c>
      <c r="L381" s="5">
        <f ca="1">IFERROR(__xludf.DUMMYFUNCTION("""COMPUTED_VALUE"""),0)</f>
        <v>0</v>
      </c>
      <c r="M381">
        <f ca="1">IFERROR(__xludf.DUMMYFUNCTION("""COMPUTED_VALUE"""),1)</f>
        <v>1</v>
      </c>
      <c r="N381" s="8"/>
    </row>
    <row r="382" spans="1:14" ht="12.45" hidden="1">
      <c r="A382" t="str">
        <f ca="1">IFERROR(__xludf.DUMMYFUNCTION("""COMPUTED_VALUE"""),"III-3-100")</f>
        <v>III-3-100</v>
      </c>
      <c r="B382" t="str">
        <f ca="1">IFERROR(__xludf.DUMMYFUNCTION("""COMPUTED_VALUE"""),"Гвоздольский")</f>
        <v>Гвоздольский</v>
      </c>
      <c r="C382" t="str">
        <f ca="1">IFERROR(__xludf.DUMMYFUNCTION("""COMPUTED_VALUE"""),"Андрей")</f>
        <v>Андрей</v>
      </c>
      <c r="D382" t="str">
        <f ca="1">IFERROR(__xludf.DUMMYFUNCTION("""COMPUTED_VALUE"""),"Школа 113")</f>
        <v>Школа 113</v>
      </c>
      <c r="E382" s="5">
        <f ca="1">IFERROR(__xludf.DUMMYFUNCTION("""COMPUTED_VALUE"""),0)</f>
        <v>0</v>
      </c>
      <c r="F382" s="5">
        <f ca="1">IFERROR(__xludf.DUMMYFUNCTION("""COMPUTED_VALUE"""),0)</f>
        <v>0</v>
      </c>
      <c r="G382" s="5">
        <f ca="1">IFERROR(__xludf.DUMMYFUNCTION("""COMPUTED_VALUE"""),0)</f>
        <v>0</v>
      </c>
      <c r="H382" s="5">
        <f ca="1">IFERROR(__xludf.DUMMYFUNCTION("""COMPUTED_VALUE"""),0)</f>
        <v>0</v>
      </c>
      <c r="I382" s="5">
        <f ca="1">IFERROR(__xludf.DUMMYFUNCTION("""COMPUTED_VALUE"""),0)</f>
        <v>0</v>
      </c>
      <c r="J382" s="5">
        <f ca="1">IFERROR(__xludf.DUMMYFUNCTION("""COMPUTED_VALUE"""),0)</f>
        <v>0</v>
      </c>
      <c r="K382" s="5">
        <f ca="1">IFERROR(__xludf.DUMMYFUNCTION("""COMPUTED_VALUE"""),0)</f>
        <v>0</v>
      </c>
      <c r="L382" s="5">
        <f ca="1">IFERROR(__xludf.DUMMYFUNCTION("""COMPUTED_VALUE"""),1)</f>
        <v>1</v>
      </c>
      <c r="M382">
        <f ca="1">IFERROR(__xludf.DUMMYFUNCTION("""COMPUTED_VALUE"""),1)</f>
        <v>1</v>
      </c>
      <c r="N382" s="8"/>
    </row>
    <row r="383" spans="1:14" ht="12.45" hidden="1">
      <c r="A383" t="str">
        <f ca="1">IFERROR(__xludf.DUMMYFUNCTION("""COMPUTED_VALUE"""),"V-3-533")</f>
        <v>V-3-533</v>
      </c>
      <c r="B383" t="str">
        <f ca="1">IFERROR(__xludf.DUMMYFUNCTION("""COMPUTED_VALUE"""),"Тюряпин")</f>
        <v>Тюряпин</v>
      </c>
      <c r="C383" t="str">
        <f ca="1">IFERROR(__xludf.DUMMYFUNCTION("""COMPUTED_VALUE"""),"Илья")</f>
        <v>Илья</v>
      </c>
      <c r="D383" t="str">
        <f ca="1">IFERROR(__xludf.DUMMYFUNCTION("""COMPUTED_VALUE"""),"Школа 113")</f>
        <v>Школа 113</v>
      </c>
      <c r="E383" s="5">
        <f ca="1">IFERROR(__xludf.DUMMYFUNCTION("""COMPUTED_VALUE"""),0)</f>
        <v>0</v>
      </c>
      <c r="F383" s="5">
        <f ca="1">IFERROR(__xludf.DUMMYFUNCTION("""COMPUTED_VALUE"""),0)</f>
        <v>0</v>
      </c>
      <c r="G383" s="5">
        <f ca="1">IFERROR(__xludf.DUMMYFUNCTION("""COMPUTED_VALUE"""),0)</f>
        <v>0</v>
      </c>
      <c r="H383" s="5">
        <f ca="1">IFERROR(__xludf.DUMMYFUNCTION("""COMPUTED_VALUE"""),0)</f>
        <v>0</v>
      </c>
      <c r="I383" s="5">
        <f ca="1">IFERROR(__xludf.DUMMYFUNCTION("""COMPUTED_VALUE"""),0)</f>
        <v>0</v>
      </c>
      <c r="J383" s="5">
        <f ca="1">IFERROR(__xludf.DUMMYFUNCTION("""COMPUTED_VALUE"""),0)</f>
        <v>0</v>
      </c>
      <c r="K383" s="5">
        <f ca="1">IFERROR(__xludf.DUMMYFUNCTION("""COMPUTED_VALUE"""),0)</f>
        <v>0</v>
      </c>
      <c r="L383" s="5">
        <f ca="1">IFERROR(__xludf.DUMMYFUNCTION("""COMPUTED_VALUE"""),1)</f>
        <v>1</v>
      </c>
      <c r="M383">
        <f ca="1">IFERROR(__xludf.DUMMYFUNCTION("""COMPUTED_VALUE"""),1)</f>
        <v>1</v>
      </c>
      <c r="N383" s="8"/>
    </row>
    <row r="384" spans="1:14" ht="12.45" hidden="1">
      <c r="A384" t="str">
        <f ca="1">IFERROR(__xludf.DUMMYFUNCTION("""COMPUTED_VALUE"""),"III-3-098")</f>
        <v>III-3-098</v>
      </c>
      <c r="B384" t="str">
        <f ca="1">IFERROR(__xludf.DUMMYFUNCTION("""COMPUTED_VALUE"""),"Гаченко")</f>
        <v>Гаченко</v>
      </c>
      <c r="C384" t="str">
        <f ca="1">IFERROR(__xludf.DUMMYFUNCTION("""COMPUTED_VALUE"""),"Анна")</f>
        <v>Анна</v>
      </c>
      <c r="D384" t="str">
        <f ca="1">IFERROR(__xludf.DUMMYFUNCTION("""COMPUTED_VALUE"""),"Школа 106")</f>
        <v>Школа 106</v>
      </c>
      <c r="E384" s="5">
        <f ca="1">IFERROR(__xludf.DUMMYFUNCTION("""COMPUTED_VALUE"""),0)</f>
        <v>0</v>
      </c>
      <c r="F384" s="5">
        <f ca="1">IFERROR(__xludf.DUMMYFUNCTION("""COMPUTED_VALUE"""),1)</f>
        <v>1</v>
      </c>
      <c r="G384" s="5">
        <f ca="1">IFERROR(__xludf.DUMMYFUNCTION("""COMPUTED_VALUE"""),0)</f>
        <v>0</v>
      </c>
      <c r="H384" s="5">
        <f ca="1">IFERROR(__xludf.DUMMYFUNCTION("""COMPUTED_VALUE"""),0)</f>
        <v>0</v>
      </c>
      <c r="I384" s="5">
        <f ca="1">IFERROR(__xludf.DUMMYFUNCTION("""COMPUTED_VALUE"""),0)</f>
        <v>0</v>
      </c>
      <c r="J384" s="5">
        <f ca="1">IFERROR(__xludf.DUMMYFUNCTION("""COMPUTED_VALUE"""),0)</f>
        <v>0</v>
      </c>
      <c r="K384" s="5">
        <f ca="1">IFERROR(__xludf.DUMMYFUNCTION("""COMPUTED_VALUE"""),0)</f>
        <v>0</v>
      </c>
      <c r="L384" s="5">
        <f ca="1">IFERROR(__xludf.DUMMYFUNCTION("""COMPUTED_VALUE"""),0)</f>
        <v>0</v>
      </c>
      <c r="M384">
        <f ca="1">IFERROR(__xludf.DUMMYFUNCTION("""COMPUTED_VALUE"""),1)</f>
        <v>1</v>
      </c>
      <c r="N384" s="8"/>
    </row>
    <row r="385" spans="1:14" ht="12.45" hidden="1">
      <c r="A385" t="str">
        <f ca="1">IFERROR(__xludf.DUMMYFUNCTION("""COMPUTED_VALUE"""),"III-3-295")</f>
        <v>III-3-295</v>
      </c>
      <c r="B385" t="str">
        <f ca="1">IFERROR(__xludf.DUMMYFUNCTION("""COMPUTED_VALUE"""),"Локтионова")</f>
        <v>Локтионова</v>
      </c>
      <c r="C385" t="str">
        <f ca="1">IFERROR(__xludf.DUMMYFUNCTION("""COMPUTED_VALUE"""),"Анастасия")</f>
        <v>Анастасия</v>
      </c>
      <c r="D385" t="str">
        <f ca="1">IFERROR(__xludf.DUMMYFUNCTION("""COMPUTED_VALUE"""),"Лицей 64")</f>
        <v>Лицей 64</v>
      </c>
      <c r="E385" s="5">
        <f ca="1">IFERROR(__xludf.DUMMYFUNCTION("""COMPUTED_VALUE"""),0)</f>
        <v>0</v>
      </c>
      <c r="F385" s="5">
        <f ca="1">IFERROR(__xludf.DUMMYFUNCTION("""COMPUTED_VALUE"""),0)</f>
        <v>0</v>
      </c>
      <c r="G385" s="5">
        <f ca="1">IFERROR(__xludf.DUMMYFUNCTION("""COMPUTED_VALUE"""),0)</f>
        <v>0</v>
      </c>
      <c r="H385" s="5">
        <f ca="1">IFERROR(__xludf.DUMMYFUNCTION("""COMPUTED_VALUE"""),0)</f>
        <v>0</v>
      </c>
      <c r="I385" s="5">
        <f ca="1">IFERROR(__xludf.DUMMYFUNCTION("""COMPUTED_VALUE"""),0)</f>
        <v>0</v>
      </c>
      <c r="J385" s="5">
        <f ca="1">IFERROR(__xludf.DUMMYFUNCTION("""COMPUTED_VALUE"""),0)</f>
        <v>0</v>
      </c>
      <c r="K385" s="5">
        <f ca="1">IFERROR(__xludf.DUMMYFUNCTION("""COMPUTED_VALUE"""),0)</f>
        <v>0</v>
      </c>
      <c r="L385" s="5">
        <f ca="1">IFERROR(__xludf.DUMMYFUNCTION("""COMPUTED_VALUE"""),1)</f>
        <v>1</v>
      </c>
      <c r="M385">
        <f ca="1">IFERROR(__xludf.DUMMYFUNCTION("""COMPUTED_VALUE"""),1)</f>
        <v>1</v>
      </c>
      <c r="N385" s="8"/>
    </row>
    <row r="386" spans="1:14" ht="12.45" hidden="1">
      <c r="A386" t="str">
        <f ca="1">IFERROR(__xludf.DUMMYFUNCTION("""COMPUTED_VALUE"""),"V-3-360")</f>
        <v>V-3-360</v>
      </c>
      <c r="B386" t="str">
        <f ca="1">IFERROR(__xludf.DUMMYFUNCTION("""COMPUTED_VALUE"""),"Неговоров")</f>
        <v>Неговоров</v>
      </c>
      <c r="C386" t="str">
        <f ca="1">IFERROR(__xludf.DUMMYFUNCTION("""COMPUTED_VALUE"""),"Константин")</f>
        <v>Константин</v>
      </c>
      <c r="D386" t="str">
        <f ca="1">IFERROR(__xludf.DUMMYFUNCTION("""COMPUTED_VALUE"""),"Школа Сфера")</f>
        <v>Школа Сфера</v>
      </c>
      <c r="E386" s="5">
        <f ca="1">IFERROR(__xludf.DUMMYFUNCTION("""COMPUTED_VALUE"""),0)</f>
        <v>0</v>
      </c>
      <c r="F386" s="5">
        <f ca="1">IFERROR(__xludf.DUMMYFUNCTION("""COMPUTED_VALUE"""),0)</f>
        <v>0</v>
      </c>
      <c r="G386" s="5">
        <f ca="1">IFERROR(__xludf.DUMMYFUNCTION("""COMPUTED_VALUE"""),1)</f>
        <v>1</v>
      </c>
      <c r="H386" s="5">
        <f ca="1">IFERROR(__xludf.DUMMYFUNCTION("""COMPUTED_VALUE"""),0)</f>
        <v>0</v>
      </c>
      <c r="I386" s="5">
        <f ca="1">IFERROR(__xludf.DUMMYFUNCTION("""COMPUTED_VALUE"""),0)</f>
        <v>0</v>
      </c>
      <c r="J386" s="5">
        <f ca="1">IFERROR(__xludf.DUMMYFUNCTION("""COMPUTED_VALUE"""),0)</f>
        <v>0</v>
      </c>
      <c r="K386" s="5">
        <f ca="1">IFERROR(__xludf.DUMMYFUNCTION("""COMPUTED_VALUE"""),0)</f>
        <v>0</v>
      </c>
      <c r="L386" s="5">
        <f ca="1">IFERROR(__xludf.DUMMYFUNCTION("""COMPUTED_VALUE"""),0)</f>
        <v>0</v>
      </c>
      <c r="M386">
        <f ca="1">IFERROR(__xludf.DUMMYFUNCTION("""COMPUTED_VALUE"""),1)</f>
        <v>1</v>
      </c>
      <c r="N386" s="8"/>
    </row>
    <row r="387" spans="1:14" ht="12.45" hidden="1">
      <c r="A387" t="str">
        <f ca="1">IFERROR(__xludf.DUMMYFUNCTION("""COMPUTED_VALUE"""),"V-3-367")</f>
        <v>V-3-367</v>
      </c>
      <c r="B387" t="str">
        <f ca="1">IFERROR(__xludf.DUMMYFUNCTION("""COMPUTED_VALUE"""),"Никонов")</f>
        <v>Никонов</v>
      </c>
      <c r="C387" t="str">
        <f ca="1">IFERROR(__xludf.DUMMYFUNCTION("""COMPUTED_VALUE"""),"Тимофей")</f>
        <v>Тимофей</v>
      </c>
      <c r="D387" t="str">
        <f ca="1">IFERROR(__xludf.DUMMYFUNCTION("""COMPUTED_VALUE"""),"Школа 246")</f>
        <v>Школа 246</v>
      </c>
      <c r="E387" s="5">
        <f ca="1">IFERROR(__xludf.DUMMYFUNCTION("""COMPUTED_VALUE"""),0)</f>
        <v>0</v>
      </c>
      <c r="F387" s="5">
        <f ca="1">IFERROR(__xludf.DUMMYFUNCTION("""COMPUTED_VALUE"""),0)</f>
        <v>0</v>
      </c>
      <c r="G387" s="5">
        <f ca="1">IFERROR(__xludf.DUMMYFUNCTION("""COMPUTED_VALUE"""),1)</f>
        <v>1</v>
      </c>
      <c r="H387" s="5">
        <f ca="1">IFERROR(__xludf.DUMMYFUNCTION("""COMPUTED_VALUE"""),0)</f>
        <v>0</v>
      </c>
      <c r="I387" s="5">
        <f ca="1">IFERROR(__xludf.DUMMYFUNCTION("""COMPUTED_VALUE"""),0)</f>
        <v>0</v>
      </c>
      <c r="J387" s="5">
        <f ca="1">IFERROR(__xludf.DUMMYFUNCTION("""COMPUTED_VALUE"""),0)</f>
        <v>0</v>
      </c>
      <c r="K387" s="5">
        <f ca="1">IFERROR(__xludf.DUMMYFUNCTION("""COMPUTED_VALUE"""),0)</f>
        <v>0</v>
      </c>
      <c r="L387" s="5">
        <f ca="1">IFERROR(__xludf.DUMMYFUNCTION("""COMPUTED_VALUE"""),0)</f>
        <v>0</v>
      </c>
      <c r="M387">
        <f ca="1">IFERROR(__xludf.DUMMYFUNCTION("""COMPUTED_VALUE"""),1)</f>
        <v>1</v>
      </c>
      <c r="N387" s="8"/>
    </row>
    <row r="388" spans="1:14" ht="12.45" hidden="1">
      <c r="A388" t="str">
        <f ca="1">IFERROR(__xludf.DUMMYFUNCTION("""COMPUTED_VALUE"""),"V-3-316")</f>
        <v>V-3-316</v>
      </c>
      <c r="B388" t="str">
        <f ca="1">IFERROR(__xludf.DUMMYFUNCTION("""COMPUTED_VALUE"""),"Марзаганов")</f>
        <v>Марзаганов</v>
      </c>
      <c r="C388" t="str">
        <f ca="1">IFERROR(__xludf.DUMMYFUNCTION("""COMPUTED_VALUE"""),"Георгий")</f>
        <v>Георгий</v>
      </c>
      <c r="D388" t="str">
        <f ca="1">IFERROR(__xludf.DUMMYFUNCTION("""COMPUTED_VALUE"""),"Школа 485")</f>
        <v>Школа 485</v>
      </c>
      <c r="E388" s="5">
        <f ca="1">IFERROR(__xludf.DUMMYFUNCTION("""COMPUTED_VALUE"""),0)</f>
        <v>0</v>
      </c>
      <c r="F388" s="5">
        <f ca="1">IFERROR(__xludf.DUMMYFUNCTION("""COMPUTED_VALUE"""),0)</f>
        <v>0</v>
      </c>
      <c r="G388" s="5">
        <f ca="1">IFERROR(__xludf.DUMMYFUNCTION("""COMPUTED_VALUE"""),1)</f>
        <v>1</v>
      </c>
      <c r="H388" s="5">
        <f ca="1">IFERROR(__xludf.DUMMYFUNCTION("""COMPUTED_VALUE"""),0)</f>
        <v>0</v>
      </c>
      <c r="I388" s="5">
        <f ca="1">IFERROR(__xludf.DUMMYFUNCTION("""COMPUTED_VALUE"""),0)</f>
        <v>0</v>
      </c>
      <c r="J388" s="5">
        <f ca="1">IFERROR(__xludf.DUMMYFUNCTION("""COMPUTED_VALUE"""),0)</f>
        <v>0</v>
      </c>
      <c r="K388" s="5">
        <f ca="1">IFERROR(__xludf.DUMMYFUNCTION("""COMPUTED_VALUE"""),0)</f>
        <v>0</v>
      </c>
      <c r="L388" s="5">
        <f ca="1">IFERROR(__xludf.DUMMYFUNCTION("""COMPUTED_VALUE"""),0)</f>
        <v>0</v>
      </c>
      <c r="M388">
        <f ca="1">IFERROR(__xludf.DUMMYFUNCTION("""COMPUTED_VALUE"""),1)</f>
        <v>1</v>
      </c>
      <c r="N388" s="8"/>
    </row>
    <row r="389" spans="1:14" ht="12.45" hidden="1">
      <c r="A389" t="str">
        <f ca="1">IFERROR(__xludf.DUMMYFUNCTION("""COMPUTED_VALUE"""),"III-3-163")</f>
        <v>III-3-163</v>
      </c>
      <c r="B389" t="str">
        <f ca="1">IFERROR(__xludf.DUMMYFUNCTION("""COMPUTED_VALUE"""),"Земскова")</f>
        <v>Земскова</v>
      </c>
      <c r="C389" t="str">
        <f ca="1">IFERROR(__xludf.DUMMYFUNCTION("""COMPUTED_VALUE"""),"Мария")</f>
        <v>Мария</v>
      </c>
      <c r="D389" t="str">
        <f ca="1">IFERROR(__xludf.DUMMYFUNCTION("""COMPUTED_VALUE"""),"Лицей 150")</f>
        <v>Лицей 150</v>
      </c>
      <c r="E389" s="5">
        <f ca="1">IFERROR(__xludf.DUMMYFUNCTION("""COMPUTED_VALUE"""),0)</f>
        <v>0</v>
      </c>
      <c r="F389" s="5">
        <f ca="1">IFERROR(__xludf.DUMMYFUNCTION("""COMPUTED_VALUE"""),0)</f>
        <v>0</v>
      </c>
      <c r="G389" s="5">
        <f ca="1">IFERROR(__xludf.DUMMYFUNCTION("""COMPUTED_VALUE"""),0)</f>
        <v>0</v>
      </c>
      <c r="H389" s="5">
        <f ca="1">IFERROR(__xludf.DUMMYFUNCTION("""COMPUTED_VALUE"""),0)</f>
        <v>0</v>
      </c>
      <c r="I389" s="5">
        <f ca="1">IFERROR(__xludf.DUMMYFUNCTION("""COMPUTED_VALUE"""),0)</f>
        <v>0</v>
      </c>
      <c r="J389" s="5">
        <f ca="1">IFERROR(__xludf.DUMMYFUNCTION("""COMPUTED_VALUE"""),0)</f>
        <v>0</v>
      </c>
      <c r="K389" s="5">
        <f ca="1">IFERROR(__xludf.DUMMYFUNCTION("""COMPUTED_VALUE"""),0)</f>
        <v>0</v>
      </c>
      <c r="L389" s="5">
        <f ca="1">IFERROR(__xludf.DUMMYFUNCTION("""COMPUTED_VALUE"""),1)</f>
        <v>1</v>
      </c>
      <c r="M389">
        <f ca="1">IFERROR(__xludf.DUMMYFUNCTION("""COMPUTED_VALUE"""),1)</f>
        <v>1</v>
      </c>
      <c r="N389" s="8"/>
    </row>
    <row r="390" spans="1:14" ht="12.45" hidden="1">
      <c r="A390" t="str">
        <f ca="1">IFERROR(__xludf.DUMMYFUNCTION("""COMPUTED_VALUE"""),"V-3-409")</f>
        <v>V-3-409</v>
      </c>
      <c r="B390" t="str">
        <f ca="1">IFERROR(__xludf.DUMMYFUNCTION("""COMPUTED_VALUE"""),"Петров")</f>
        <v>Петров</v>
      </c>
      <c r="C390" t="str">
        <f ca="1">IFERROR(__xludf.DUMMYFUNCTION("""COMPUTED_VALUE"""),"Григорий")</f>
        <v>Григорий</v>
      </c>
      <c r="D390" t="str">
        <f ca="1">IFERROR(__xludf.DUMMYFUNCTION("""COMPUTED_VALUE"""),"Лицей 150")</f>
        <v>Лицей 150</v>
      </c>
      <c r="E390" s="5">
        <f ca="1">IFERROR(__xludf.DUMMYFUNCTION("""COMPUTED_VALUE"""),0)</f>
        <v>0</v>
      </c>
      <c r="F390" s="5">
        <f ca="1">IFERROR(__xludf.DUMMYFUNCTION("""COMPUTED_VALUE"""),0)</f>
        <v>0</v>
      </c>
      <c r="G390" s="5">
        <f ca="1">IFERROR(__xludf.DUMMYFUNCTION("""COMPUTED_VALUE"""),1)</f>
        <v>1</v>
      </c>
      <c r="H390" s="5">
        <f ca="1">IFERROR(__xludf.DUMMYFUNCTION("""COMPUTED_VALUE"""),0)</f>
        <v>0</v>
      </c>
      <c r="I390" s="5">
        <f ca="1">IFERROR(__xludf.DUMMYFUNCTION("""COMPUTED_VALUE"""),0)</f>
        <v>0</v>
      </c>
      <c r="J390" s="5">
        <f ca="1">IFERROR(__xludf.DUMMYFUNCTION("""COMPUTED_VALUE"""),0)</f>
        <v>0</v>
      </c>
      <c r="K390" s="5">
        <f ca="1">IFERROR(__xludf.DUMMYFUNCTION("""COMPUTED_VALUE"""),0)</f>
        <v>0</v>
      </c>
      <c r="L390" s="5">
        <f ca="1">IFERROR(__xludf.DUMMYFUNCTION("""COMPUTED_VALUE"""),0)</f>
        <v>0</v>
      </c>
      <c r="M390">
        <f ca="1">IFERROR(__xludf.DUMMYFUNCTION("""COMPUTED_VALUE"""),1)</f>
        <v>1</v>
      </c>
      <c r="N390" s="8"/>
    </row>
    <row r="391" spans="1:14" ht="12.45" hidden="1">
      <c r="A391" t="str">
        <f ca="1">IFERROR(__xludf.DUMMYFUNCTION("""COMPUTED_VALUE"""),"V-3-568")</f>
        <v>V-3-568</v>
      </c>
      <c r="B391" t="str">
        <f ca="1">IFERROR(__xludf.DUMMYFUNCTION("""COMPUTED_VALUE"""),"Честнова")</f>
        <v>Честнова</v>
      </c>
      <c r="C391" t="str">
        <f ca="1">IFERROR(__xludf.DUMMYFUNCTION("""COMPUTED_VALUE"""),"Екатерина")</f>
        <v>Екатерина</v>
      </c>
      <c r="D391" t="str">
        <f ca="1">IFERROR(__xludf.DUMMYFUNCTION("""COMPUTED_VALUE"""),"Лицей 150")</f>
        <v>Лицей 150</v>
      </c>
      <c r="E391" s="5">
        <f ca="1">IFERROR(__xludf.DUMMYFUNCTION("""COMPUTED_VALUE"""),0)</f>
        <v>0</v>
      </c>
      <c r="F391" s="5">
        <f ca="1">IFERROR(__xludf.DUMMYFUNCTION("""COMPUTED_VALUE"""),0)</f>
        <v>0</v>
      </c>
      <c r="G391" s="5">
        <f ca="1">IFERROR(__xludf.DUMMYFUNCTION("""COMPUTED_VALUE"""),0)</f>
        <v>0</v>
      </c>
      <c r="H391" s="5">
        <f ca="1">IFERROR(__xludf.DUMMYFUNCTION("""COMPUTED_VALUE"""),0)</f>
        <v>0</v>
      </c>
      <c r="I391" s="5">
        <f ca="1">IFERROR(__xludf.DUMMYFUNCTION("""COMPUTED_VALUE"""),0)</f>
        <v>0</v>
      </c>
      <c r="J391" s="5">
        <f ca="1">IFERROR(__xludf.DUMMYFUNCTION("""COMPUTED_VALUE"""),0)</f>
        <v>0</v>
      </c>
      <c r="K391" s="5">
        <f ca="1">IFERROR(__xludf.DUMMYFUNCTION("""COMPUTED_VALUE"""),0)</f>
        <v>0</v>
      </c>
      <c r="L391" s="5">
        <f ca="1">IFERROR(__xludf.DUMMYFUNCTION("""COMPUTED_VALUE"""),1)</f>
        <v>1</v>
      </c>
      <c r="M391">
        <f ca="1">IFERROR(__xludf.DUMMYFUNCTION("""COMPUTED_VALUE"""),1)</f>
        <v>1</v>
      </c>
      <c r="N391" s="8"/>
    </row>
    <row r="392" spans="1:14" ht="12.45" hidden="1">
      <c r="A392" t="str">
        <f ca="1">IFERROR(__xludf.DUMMYFUNCTION("""COMPUTED_VALUE"""),"V-3-433")</f>
        <v>V-3-433</v>
      </c>
      <c r="B392" t="str">
        <f ca="1">IFERROR(__xludf.DUMMYFUNCTION("""COMPUTED_VALUE"""),"Пыренкова")</f>
        <v>Пыренкова</v>
      </c>
      <c r="C392" t="str">
        <f ca="1">IFERROR(__xludf.DUMMYFUNCTION("""COMPUTED_VALUE"""),"Марьяна")</f>
        <v>Марьяна</v>
      </c>
      <c r="D392" t="str">
        <f ca="1">IFERROR(__xludf.DUMMYFUNCTION("""COMPUTED_VALUE"""),"Лицей 150")</f>
        <v>Лицей 150</v>
      </c>
      <c r="E392" s="5">
        <f ca="1">IFERROR(__xludf.DUMMYFUNCTION("""COMPUTED_VALUE"""),0)</f>
        <v>0</v>
      </c>
      <c r="F392" s="5">
        <f ca="1">IFERROR(__xludf.DUMMYFUNCTION("""COMPUTED_VALUE"""),0)</f>
        <v>0</v>
      </c>
      <c r="G392" s="5">
        <f ca="1">IFERROR(__xludf.DUMMYFUNCTION("""COMPUTED_VALUE"""),0)</f>
        <v>0</v>
      </c>
      <c r="H392" s="5">
        <f ca="1">IFERROR(__xludf.DUMMYFUNCTION("""COMPUTED_VALUE"""),0)</f>
        <v>0</v>
      </c>
      <c r="I392" s="5">
        <f ca="1">IFERROR(__xludf.DUMMYFUNCTION("""COMPUTED_VALUE"""),0)</f>
        <v>0</v>
      </c>
      <c r="J392" s="5">
        <f ca="1">IFERROR(__xludf.DUMMYFUNCTION("""COMPUTED_VALUE"""),0)</f>
        <v>0</v>
      </c>
      <c r="K392" s="5">
        <f ca="1">IFERROR(__xludf.DUMMYFUNCTION("""COMPUTED_VALUE"""),1)</f>
        <v>1</v>
      </c>
      <c r="L392" s="5">
        <f ca="1">IFERROR(__xludf.DUMMYFUNCTION("""COMPUTED_VALUE"""),0)</f>
        <v>0</v>
      </c>
      <c r="M392">
        <f ca="1">IFERROR(__xludf.DUMMYFUNCTION("""COMPUTED_VALUE"""),1)</f>
        <v>1</v>
      </c>
      <c r="N392" s="8"/>
    </row>
    <row r="393" spans="1:14" ht="12.45" hidden="1">
      <c r="A393" t="str">
        <f ca="1">IFERROR(__xludf.DUMMYFUNCTION("""COMPUTED_VALUE"""),"V-3-493")</f>
        <v>V-3-493</v>
      </c>
      <c r="B393" t="str">
        <f ca="1">IFERROR(__xludf.DUMMYFUNCTION("""COMPUTED_VALUE"""),"Соколова")</f>
        <v>Соколова</v>
      </c>
      <c r="C393" t="str">
        <f ca="1">IFERROR(__xludf.DUMMYFUNCTION("""COMPUTED_VALUE"""),"Антонина")</f>
        <v>Антонина</v>
      </c>
      <c r="D393" t="str">
        <f ca="1">IFERROR(__xludf.DUMMYFUNCTION("""COMPUTED_VALUE"""),"Школа 362")</f>
        <v>Школа 362</v>
      </c>
      <c r="E393" s="5">
        <f ca="1">IFERROR(__xludf.DUMMYFUNCTION("""COMPUTED_VALUE"""),0)</f>
        <v>0</v>
      </c>
      <c r="F393" s="5">
        <f ca="1">IFERROR(__xludf.DUMMYFUNCTION("""COMPUTED_VALUE"""),0)</f>
        <v>0</v>
      </c>
      <c r="G393" s="5">
        <f ca="1">IFERROR(__xludf.DUMMYFUNCTION("""COMPUTED_VALUE"""),0)</f>
        <v>0</v>
      </c>
      <c r="H393" s="5">
        <f ca="1">IFERROR(__xludf.DUMMYFUNCTION("""COMPUTED_VALUE"""),0)</f>
        <v>0</v>
      </c>
      <c r="I393" s="5">
        <f ca="1">IFERROR(__xludf.DUMMYFUNCTION("""COMPUTED_VALUE"""),0)</f>
        <v>0</v>
      </c>
      <c r="J393" s="5">
        <f ca="1">IFERROR(__xludf.DUMMYFUNCTION("""COMPUTED_VALUE"""),0)</f>
        <v>0</v>
      </c>
      <c r="K393" s="5">
        <f ca="1">IFERROR(__xludf.DUMMYFUNCTION("""COMPUTED_VALUE"""),0)</f>
        <v>0</v>
      </c>
      <c r="L393" s="5">
        <f ca="1">IFERROR(__xludf.DUMMYFUNCTION("""COMPUTED_VALUE"""),1)</f>
        <v>1</v>
      </c>
      <c r="M393">
        <f ca="1">IFERROR(__xludf.DUMMYFUNCTION("""COMPUTED_VALUE"""),1)</f>
        <v>1</v>
      </c>
      <c r="N393" s="8"/>
    </row>
    <row r="394" spans="1:14" ht="12.45" hidden="1">
      <c r="A394" t="str">
        <f ca="1">IFERROR(__xludf.DUMMYFUNCTION("""COMPUTED_VALUE"""),"III-3-119")</f>
        <v>III-3-119</v>
      </c>
      <c r="B394" t="str">
        <f ca="1">IFERROR(__xludf.DUMMYFUNCTION("""COMPUTED_VALUE"""),"Гужва")</f>
        <v>Гужва</v>
      </c>
      <c r="C394" t="str">
        <f ca="1">IFERROR(__xludf.DUMMYFUNCTION("""COMPUTED_VALUE"""),"Мария")</f>
        <v>Мария</v>
      </c>
      <c r="D394" t="str">
        <f ca="1">IFERROR(__xludf.DUMMYFUNCTION("""COMPUTED_VALUE"""),"Школа 593")</f>
        <v>Школа 593</v>
      </c>
      <c r="E394" s="5">
        <f ca="1">IFERROR(__xludf.DUMMYFUNCTION("""COMPUTED_VALUE"""),0)</f>
        <v>0</v>
      </c>
      <c r="F394" s="5">
        <f ca="1">IFERROR(__xludf.DUMMYFUNCTION("""COMPUTED_VALUE"""),0)</f>
        <v>0</v>
      </c>
      <c r="G394" s="5">
        <f ca="1">IFERROR(__xludf.DUMMYFUNCTION("""COMPUTED_VALUE"""),1)</f>
        <v>1</v>
      </c>
      <c r="H394" s="5">
        <f ca="1">IFERROR(__xludf.DUMMYFUNCTION("""COMPUTED_VALUE"""),0)</f>
        <v>0</v>
      </c>
      <c r="I394" s="5">
        <f ca="1">IFERROR(__xludf.DUMMYFUNCTION("""COMPUTED_VALUE"""),0)</f>
        <v>0</v>
      </c>
      <c r="J394" s="5">
        <f ca="1">IFERROR(__xludf.DUMMYFUNCTION("""COMPUTED_VALUE"""),0)</f>
        <v>0</v>
      </c>
      <c r="K394" s="5">
        <f ca="1">IFERROR(__xludf.DUMMYFUNCTION("""COMPUTED_VALUE"""),0)</f>
        <v>0</v>
      </c>
      <c r="L394" s="5">
        <f ca="1">IFERROR(__xludf.DUMMYFUNCTION("""COMPUTED_VALUE"""),0)</f>
        <v>0</v>
      </c>
      <c r="M394">
        <f ca="1">IFERROR(__xludf.DUMMYFUNCTION("""COMPUTED_VALUE"""),1)</f>
        <v>1</v>
      </c>
      <c r="N394" s="8"/>
    </row>
    <row r="395" spans="1:14" ht="12.45" hidden="1">
      <c r="A395" t="str">
        <f ca="1">IFERROR(__xludf.DUMMYFUNCTION("""COMPUTED_VALUE"""),"III-3-206")</f>
        <v>III-3-206</v>
      </c>
      <c r="B395" t="str">
        <f ca="1">IFERROR(__xludf.DUMMYFUNCTION("""COMPUTED_VALUE"""),"Ким")</f>
        <v>Ким</v>
      </c>
      <c r="C395" t="str">
        <f ca="1">IFERROR(__xludf.DUMMYFUNCTION("""COMPUTED_VALUE"""),"Михаил")</f>
        <v>Михаил</v>
      </c>
      <c r="D395" t="str">
        <f ca="1">IFERROR(__xludf.DUMMYFUNCTION("""COMPUTED_VALUE"""),"Школа 246")</f>
        <v>Школа 246</v>
      </c>
      <c r="E395" s="5">
        <f ca="1">IFERROR(__xludf.DUMMYFUNCTION("""COMPUTED_VALUE"""),0)</f>
        <v>0</v>
      </c>
      <c r="F395" s="5">
        <f ca="1">IFERROR(__xludf.DUMMYFUNCTION("""COMPUTED_VALUE"""),1)</f>
        <v>1</v>
      </c>
      <c r="G395" s="5">
        <f ca="1">IFERROR(__xludf.DUMMYFUNCTION("""COMPUTED_VALUE"""),0)</f>
        <v>0</v>
      </c>
      <c r="H395" s="5">
        <f ca="1">IFERROR(__xludf.DUMMYFUNCTION("""COMPUTED_VALUE"""),0)</f>
        <v>0</v>
      </c>
      <c r="I395" s="5">
        <f ca="1">IFERROR(__xludf.DUMMYFUNCTION("""COMPUTED_VALUE"""),0)</f>
        <v>0</v>
      </c>
      <c r="J395" s="5">
        <f ca="1">IFERROR(__xludf.DUMMYFUNCTION("""COMPUTED_VALUE"""),0)</f>
        <v>0</v>
      </c>
      <c r="K395" s="5">
        <f ca="1">IFERROR(__xludf.DUMMYFUNCTION("""COMPUTED_VALUE"""),0)</f>
        <v>0</v>
      </c>
      <c r="L395" s="5">
        <f ca="1">IFERROR(__xludf.DUMMYFUNCTION("""COMPUTED_VALUE"""),0)</f>
        <v>0</v>
      </c>
      <c r="M395">
        <f ca="1">IFERROR(__xludf.DUMMYFUNCTION("""COMPUTED_VALUE"""),1)</f>
        <v>1</v>
      </c>
      <c r="N395" s="8"/>
    </row>
    <row r="396" spans="1:14" ht="12.45" hidden="1">
      <c r="A396" t="str">
        <f ca="1">IFERROR(__xludf.DUMMYFUNCTION("""COMPUTED_VALUE"""),"III-3-073")</f>
        <v>III-3-073</v>
      </c>
      <c r="B396" t="str">
        <f ca="1">IFERROR(__xludf.DUMMYFUNCTION("""COMPUTED_VALUE"""),"Васильева")</f>
        <v>Васильева</v>
      </c>
      <c r="C396" t="str">
        <f ca="1">IFERROR(__xludf.DUMMYFUNCTION("""COMPUTED_VALUE"""),"Алла")</f>
        <v>Алла</v>
      </c>
      <c r="D396" t="str">
        <f ca="1">IFERROR(__xludf.DUMMYFUNCTION("""COMPUTED_VALUE"""),"Школа 465 Санкт-Петербурга")</f>
        <v>Школа 465 Санкт-Петербурга</v>
      </c>
      <c r="E396" s="5">
        <f ca="1">IFERROR(__xludf.DUMMYFUNCTION("""COMPUTED_VALUE"""),0)</f>
        <v>0</v>
      </c>
      <c r="F396" s="5">
        <f ca="1">IFERROR(__xludf.DUMMYFUNCTION("""COMPUTED_VALUE"""),0)</f>
        <v>0</v>
      </c>
      <c r="G396" s="5">
        <f ca="1">IFERROR(__xludf.DUMMYFUNCTION("""COMPUTED_VALUE"""),0)</f>
        <v>0</v>
      </c>
      <c r="H396" s="5">
        <f ca="1">IFERROR(__xludf.DUMMYFUNCTION("""COMPUTED_VALUE"""),0)</f>
        <v>0</v>
      </c>
      <c r="I396" s="5">
        <f ca="1">IFERROR(__xludf.DUMMYFUNCTION("""COMPUTED_VALUE"""),0)</f>
        <v>0</v>
      </c>
      <c r="J396" s="5">
        <f ca="1">IFERROR(__xludf.DUMMYFUNCTION("""COMPUTED_VALUE"""),1)</f>
        <v>1</v>
      </c>
      <c r="K396" s="5">
        <f ca="1">IFERROR(__xludf.DUMMYFUNCTION("""COMPUTED_VALUE"""),0)</f>
        <v>0</v>
      </c>
      <c r="L396" s="5">
        <f ca="1">IFERROR(__xludf.DUMMYFUNCTION("""COMPUTED_VALUE"""),0)</f>
        <v>0</v>
      </c>
      <c r="M396">
        <f ca="1">IFERROR(__xludf.DUMMYFUNCTION("""COMPUTED_VALUE"""),1)</f>
        <v>1</v>
      </c>
      <c r="N396" s="8"/>
    </row>
    <row r="397" spans="1:14" ht="12.45" hidden="1">
      <c r="A397" t="str">
        <f ca="1">IFERROR(__xludf.DUMMYFUNCTION("""COMPUTED_VALUE"""),"III-3-126")</f>
        <v>III-3-126</v>
      </c>
      <c r="B397" t="str">
        <f ca="1">IFERROR(__xludf.DUMMYFUNCTION("""COMPUTED_VALUE"""),"Деревянченко")</f>
        <v>Деревянченко</v>
      </c>
      <c r="C397" t="str">
        <f ca="1">IFERROR(__xludf.DUMMYFUNCTION("""COMPUTED_VALUE"""),"Анна")</f>
        <v>Анна</v>
      </c>
      <c r="D397" t="str">
        <f ca="1">IFERROR(__xludf.DUMMYFUNCTION("""COMPUTED_VALUE"""),"Гимназия 116")</f>
        <v>Гимназия 116</v>
      </c>
      <c r="E397" s="5">
        <f ca="1">IFERROR(__xludf.DUMMYFUNCTION("""COMPUTED_VALUE"""),0)</f>
        <v>0</v>
      </c>
      <c r="F397" s="5">
        <f ca="1">IFERROR(__xludf.DUMMYFUNCTION("""COMPUTED_VALUE"""),0)</f>
        <v>0</v>
      </c>
      <c r="G397" s="5">
        <f ca="1">IFERROR(__xludf.DUMMYFUNCTION("""COMPUTED_VALUE"""),0)</f>
        <v>0</v>
      </c>
      <c r="H397" s="5">
        <f ca="1">IFERROR(__xludf.DUMMYFUNCTION("""COMPUTED_VALUE"""),0)</f>
        <v>0</v>
      </c>
      <c r="I397" s="5">
        <f ca="1">IFERROR(__xludf.DUMMYFUNCTION("""COMPUTED_VALUE"""),0)</f>
        <v>0</v>
      </c>
      <c r="J397" s="5">
        <f ca="1">IFERROR(__xludf.DUMMYFUNCTION("""COMPUTED_VALUE"""),0)</f>
        <v>0</v>
      </c>
      <c r="K397" s="5">
        <f ca="1">IFERROR(__xludf.DUMMYFUNCTION("""COMPUTED_VALUE"""),1)</f>
        <v>1</v>
      </c>
      <c r="L397" s="5">
        <f ca="1">IFERROR(__xludf.DUMMYFUNCTION("""COMPUTED_VALUE"""),0)</f>
        <v>0</v>
      </c>
      <c r="M397">
        <f ca="1">IFERROR(__xludf.DUMMYFUNCTION("""COMPUTED_VALUE"""),1)</f>
        <v>1</v>
      </c>
      <c r="N397" s="8"/>
    </row>
    <row r="398" spans="1:14" ht="12.45" hidden="1">
      <c r="A398" t="str">
        <f ca="1">IFERROR(__xludf.DUMMYFUNCTION("""COMPUTED_VALUE"""),"V-3-509")</f>
        <v>V-3-509</v>
      </c>
      <c r="B398" t="str">
        <f ca="1">IFERROR(__xludf.DUMMYFUNCTION("""COMPUTED_VALUE"""),"Сычев")</f>
        <v>Сычев</v>
      </c>
      <c r="C398" t="str">
        <f ca="1">IFERROR(__xludf.DUMMYFUNCTION("""COMPUTED_VALUE"""),"Владислав")</f>
        <v>Владислав</v>
      </c>
      <c r="D398" t="str">
        <f ca="1">IFERROR(__xludf.DUMMYFUNCTION("""COMPUTED_VALUE"""),"Лицей 144")</f>
        <v>Лицей 144</v>
      </c>
      <c r="E398" s="5">
        <f ca="1">IFERROR(__xludf.DUMMYFUNCTION("""COMPUTED_VALUE"""),0)</f>
        <v>0</v>
      </c>
      <c r="F398" s="5">
        <f ca="1">IFERROR(__xludf.DUMMYFUNCTION("""COMPUTED_VALUE"""),0)</f>
        <v>0</v>
      </c>
      <c r="G398" s="5">
        <f ca="1">IFERROR(__xludf.DUMMYFUNCTION("""COMPUTED_VALUE"""),0)</f>
        <v>0</v>
      </c>
      <c r="H398" s="5">
        <f ca="1">IFERROR(__xludf.DUMMYFUNCTION("""COMPUTED_VALUE"""),0)</f>
        <v>0</v>
      </c>
      <c r="I398" s="5">
        <f ca="1">IFERROR(__xludf.DUMMYFUNCTION("""COMPUTED_VALUE"""),0)</f>
        <v>0</v>
      </c>
      <c r="J398" s="5">
        <f ca="1">IFERROR(__xludf.DUMMYFUNCTION("""COMPUTED_VALUE"""),0)</f>
        <v>0</v>
      </c>
      <c r="K398" s="5">
        <f ca="1">IFERROR(__xludf.DUMMYFUNCTION("""COMPUTED_VALUE"""),0)</f>
        <v>0</v>
      </c>
      <c r="L398" s="5">
        <f ca="1">IFERROR(__xludf.DUMMYFUNCTION("""COMPUTED_VALUE"""),0)</f>
        <v>0</v>
      </c>
      <c r="M398">
        <f ca="1">IFERROR(__xludf.DUMMYFUNCTION("""COMPUTED_VALUE"""),0)</f>
        <v>0</v>
      </c>
      <c r="N398" s="8"/>
    </row>
    <row r="399" spans="1:14" ht="12.45" hidden="1">
      <c r="A399" t="str">
        <f ca="1">IFERROR(__xludf.DUMMYFUNCTION("""COMPUTED_VALUE"""),"V-3-449")</f>
        <v>V-3-449</v>
      </c>
      <c r="B399" t="str">
        <f ca="1">IFERROR(__xludf.DUMMYFUNCTION("""COMPUTED_VALUE"""),"Румянцева")</f>
        <v>Румянцева</v>
      </c>
      <c r="C399" t="str">
        <f ca="1">IFERROR(__xludf.DUMMYFUNCTION("""COMPUTED_VALUE"""),"Мария")</f>
        <v>Мария</v>
      </c>
      <c r="D399" t="str">
        <f ca="1">IFERROR(__xludf.DUMMYFUNCTION("""COMPUTED_VALUE"""),"Гимназия 56")</f>
        <v>Гимназия 56</v>
      </c>
      <c r="E399" s="5">
        <f ca="1">IFERROR(__xludf.DUMMYFUNCTION("""COMPUTED_VALUE"""),0)</f>
        <v>0</v>
      </c>
      <c r="F399" s="5">
        <f ca="1">IFERROR(__xludf.DUMMYFUNCTION("""COMPUTED_VALUE"""),0)</f>
        <v>0</v>
      </c>
      <c r="G399" s="5">
        <f ca="1">IFERROR(__xludf.DUMMYFUNCTION("""COMPUTED_VALUE"""),0)</f>
        <v>0</v>
      </c>
      <c r="H399" s="5">
        <f ca="1">IFERROR(__xludf.DUMMYFUNCTION("""COMPUTED_VALUE"""),0)</f>
        <v>0</v>
      </c>
      <c r="I399" s="5">
        <f ca="1">IFERROR(__xludf.DUMMYFUNCTION("""COMPUTED_VALUE"""),0)</f>
        <v>0</v>
      </c>
      <c r="J399" s="5">
        <f ca="1">IFERROR(__xludf.DUMMYFUNCTION("""COMPUTED_VALUE"""),0)</f>
        <v>0</v>
      </c>
      <c r="K399" s="5">
        <f ca="1">IFERROR(__xludf.DUMMYFUNCTION("""COMPUTED_VALUE"""),0)</f>
        <v>0</v>
      </c>
      <c r="L399" s="5">
        <f ca="1">IFERROR(__xludf.DUMMYFUNCTION("""COMPUTED_VALUE"""),0)</f>
        <v>0</v>
      </c>
      <c r="M399">
        <f ca="1">IFERROR(__xludf.DUMMYFUNCTION("""COMPUTED_VALUE"""),0)</f>
        <v>0</v>
      </c>
      <c r="N399" s="8"/>
    </row>
    <row r="400" spans="1:14" ht="12.45" hidden="1">
      <c r="A400" t="str">
        <f ca="1">IFERROR(__xludf.DUMMYFUNCTION("""COMPUTED_VALUE"""),"V-3-600")</f>
        <v>V-3-600</v>
      </c>
      <c r="B400" t="str">
        <f ca="1">IFERROR(__xludf.DUMMYFUNCTION("""COMPUTED_VALUE"""),"Ясницкий")</f>
        <v>Ясницкий</v>
      </c>
      <c r="C400" t="str">
        <f ca="1">IFERROR(__xludf.DUMMYFUNCTION("""COMPUTED_VALUE"""),"Тимофей")</f>
        <v>Тимофей</v>
      </c>
      <c r="D400" t="str">
        <f ca="1">IFERROR(__xludf.DUMMYFUNCTION("""COMPUTED_VALUE"""),"Школа 106")</f>
        <v>Школа 106</v>
      </c>
      <c r="E400" s="5">
        <f ca="1">IFERROR(__xludf.DUMMYFUNCTION("""COMPUTED_VALUE"""),0)</f>
        <v>0</v>
      </c>
      <c r="F400" s="5">
        <f ca="1">IFERROR(__xludf.DUMMYFUNCTION("""COMPUTED_VALUE"""),0)</f>
        <v>0</v>
      </c>
      <c r="G400" s="5">
        <f ca="1">IFERROR(__xludf.DUMMYFUNCTION("""COMPUTED_VALUE"""),0)</f>
        <v>0</v>
      </c>
      <c r="H400" s="5">
        <f ca="1">IFERROR(__xludf.DUMMYFUNCTION("""COMPUTED_VALUE"""),0)</f>
        <v>0</v>
      </c>
      <c r="I400" s="5">
        <f ca="1">IFERROR(__xludf.DUMMYFUNCTION("""COMPUTED_VALUE"""),0)</f>
        <v>0</v>
      </c>
      <c r="J400" s="5">
        <f ca="1">IFERROR(__xludf.DUMMYFUNCTION("""COMPUTED_VALUE"""),0)</f>
        <v>0</v>
      </c>
      <c r="K400" s="5">
        <f ca="1">IFERROR(__xludf.DUMMYFUNCTION("""COMPUTED_VALUE"""),0)</f>
        <v>0</v>
      </c>
      <c r="L400" s="5">
        <f ca="1">IFERROR(__xludf.DUMMYFUNCTION("""COMPUTED_VALUE"""),0)</f>
        <v>0</v>
      </c>
      <c r="M400">
        <f ca="1">IFERROR(__xludf.DUMMYFUNCTION("""COMPUTED_VALUE"""),0)</f>
        <v>0</v>
      </c>
      <c r="N400" s="8"/>
    </row>
    <row r="401" spans="1:14" ht="12.45" hidden="1">
      <c r="A401" t="str">
        <f ca="1">IFERROR(__xludf.DUMMYFUNCTION("""COMPUTED_VALUE"""),"III-3-215")</f>
        <v>III-3-215</v>
      </c>
      <c r="B401" t="str">
        <f ca="1">IFERROR(__xludf.DUMMYFUNCTION("""COMPUTED_VALUE"""),"Клепиков")</f>
        <v>Клепиков</v>
      </c>
      <c r="C401" t="str">
        <f ca="1">IFERROR(__xludf.DUMMYFUNCTION("""COMPUTED_VALUE"""),"Даниил")</f>
        <v>Даниил</v>
      </c>
      <c r="D401" t="str">
        <f ca="1">IFERROR(__xludf.DUMMYFUNCTION("""COMPUTED_VALUE"""),"Школа 246")</f>
        <v>Школа 246</v>
      </c>
      <c r="E401" s="5">
        <f ca="1">IFERROR(__xludf.DUMMYFUNCTION("""COMPUTED_VALUE"""),0)</f>
        <v>0</v>
      </c>
      <c r="F401" s="5">
        <f ca="1">IFERROR(__xludf.DUMMYFUNCTION("""COMPUTED_VALUE"""),0)</f>
        <v>0</v>
      </c>
      <c r="G401" s="5">
        <f ca="1">IFERROR(__xludf.DUMMYFUNCTION("""COMPUTED_VALUE"""),0)</f>
        <v>0</v>
      </c>
      <c r="H401" s="5">
        <f ca="1">IFERROR(__xludf.DUMMYFUNCTION("""COMPUTED_VALUE"""),0)</f>
        <v>0</v>
      </c>
      <c r="I401" s="5">
        <f ca="1">IFERROR(__xludf.DUMMYFUNCTION("""COMPUTED_VALUE"""),0)</f>
        <v>0</v>
      </c>
      <c r="J401" s="5">
        <f ca="1">IFERROR(__xludf.DUMMYFUNCTION("""COMPUTED_VALUE"""),0)</f>
        <v>0</v>
      </c>
      <c r="K401" s="5">
        <f ca="1">IFERROR(__xludf.DUMMYFUNCTION("""COMPUTED_VALUE"""),0)</f>
        <v>0</v>
      </c>
      <c r="L401" s="5">
        <f ca="1">IFERROR(__xludf.DUMMYFUNCTION("""COMPUTED_VALUE"""),0)</f>
        <v>0</v>
      </c>
      <c r="M401">
        <f ca="1">IFERROR(__xludf.DUMMYFUNCTION("""COMPUTED_VALUE"""),0)</f>
        <v>0</v>
      </c>
      <c r="N401" s="8"/>
    </row>
    <row r="402" spans="1:14" ht="12.45" hidden="1">
      <c r="A402" t="str">
        <f ca="1">IFERROR(__xludf.DUMMYFUNCTION("""COMPUTED_VALUE"""),"III-3-053")</f>
        <v>III-3-053</v>
      </c>
      <c r="B402" t="str">
        <f ca="1">IFERROR(__xludf.DUMMYFUNCTION("""COMPUTED_VALUE"""),"Большакова")</f>
        <v>Большакова</v>
      </c>
      <c r="C402" t="str">
        <f ca="1">IFERROR(__xludf.DUMMYFUNCTION("""COMPUTED_VALUE"""),"Вероника")</f>
        <v>Вероника</v>
      </c>
      <c r="D402" t="str">
        <f ca="1">IFERROR(__xludf.DUMMYFUNCTION("""COMPUTED_VALUE"""),"Гимназия 171")</f>
        <v>Гимназия 171</v>
      </c>
      <c r="E402" s="5">
        <f ca="1">IFERROR(__xludf.DUMMYFUNCTION("""COMPUTED_VALUE"""),0)</f>
        <v>0</v>
      </c>
      <c r="F402" s="5">
        <f ca="1">IFERROR(__xludf.DUMMYFUNCTION("""COMPUTED_VALUE"""),0)</f>
        <v>0</v>
      </c>
      <c r="G402" s="5">
        <f ca="1">IFERROR(__xludf.DUMMYFUNCTION("""COMPUTED_VALUE"""),0)</f>
        <v>0</v>
      </c>
      <c r="H402" s="5">
        <f ca="1">IFERROR(__xludf.DUMMYFUNCTION("""COMPUTED_VALUE"""),0)</f>
        <v>0</v>
      </c>
      <c r="I402" s="5">
        <f ca="1">IFERROR(__xludf.DUMMYFUNCTION("""COMPUTED_VALUE"""),0)</f>
        <v>0</v>
      </c>
      <c r="J402" s="5">
        <f ca="1">IFERROR(__xludf.DUMMYFUNCTION("""COMPUTED_VALUE"""),0)</f>
        <v>0</v>
      </c>
      <c r="K402" s="5">
        <f ca="1">IFERROR(__xludf.DUMMYFUNCTION("""COMPUTED_VALUE"""),0)</f>
        <v>0</v>
      </c>
      <c r="L402" s="5">
        <f ca="1">IFERROR(__xludf.DUMMYFUNCTION("""COMPUTED_VALUE"""),0)</f>
        <v>0</v>
      </c>
      <c r="M402">
        <f ca="1">IFERROR(__xludf.DUMMYFUNCTION("""COMPUTED_VALUE"""),0)</f>
        <v>0</v>
      </c>
      <c r="N402" s="8"/>
    </row>
    <row r="403" spans="1:14" ht="12.45" hidden="1">
      <c r="A403" t="str">
        <f ca="1">IFERROR(__xludf.DUMMYFUNCTION("""COMPUTED_VALUE"""),"III-3-021")</f>
        <v>III-3-021</v>
      </c>
      <c r="B403" t="str">
        <f ca="1">IFERROR(__xludf.DUMMYFUNCTION("""COMPUTED_VALUE"""),"Антонова")</f>
        <v>Антонова</v>
      </c>
      <c r="C403" t="str">
        <f ca="1">IFERROR(__xludf.DUMMYFUNCTION("""COMPUTED_VALUE"""),"Екатерина")</f>
        <v>Екатерина</v>
      </c>
      <c r="D403" t="str">
        <f ca="1">IFERROR(__xludf.DUMMYFUNCTION("""COMPUTED_VALUE"""),"Гимназия 49")</f>
        <v>Гимназия 49</v>
      </c>
      <c r="E403" s="5">
        <f ca="1">IFERROR(__xludf.DUMMYFUNCTION("""COMPUTED_VALUE"""),0)</f>
        <v>0</v>
      </c>
      <c r="F403" s="5">
        <f ca="1">IFERROR(__xludf.DUMMYFUNCTION("""COMPUTED_VALUE"""),0)</f>
        <v>0</v>
      </c>
      <c r="G403" s="5">
        <f ca="1">IFERROR(__xludf.DUMMYFUNCTION("""COMPUTED_VALUE"""),0)</f>
        <v>0</v>
      </c>
      <c r="H403" s="5">
        <f ca="1">IFERROR(__xludf.DUMMYFUNCTION("""COMPUTED_VALUE"""),0)</f>
        <v>0</v>
      </c>
      <c r="I403" s="5">
        <f ca="1">IFERROR(__xludf.DUMMYFUNCTION("""COMPUTED_VALUE"""),0)</f>
        <v>0</v>
      </c>
      <c r="J403" s="5">
        <f ca="1">IFERROR(__xludf.DUMMYFUNCTION("""COMPUTED_VALUE"""),0)</f>
        <v>0</v>
      </c>
      <c r="K403" s="5">
        <f ca="1">IFERROR(__xludf.DUMMYFUNCTION("""COMPUTED_VALUE"""),0)</f>
        <v>0</v>
      </c>
      <c r="L403" s="5">
        <f ca="1">IFERROR(__xludf.DUMMYFUNCTION("""COMPUTED_VALUE"""),0)</f>
        <v>0</v>
      </c>
      <c r="M403">
        <f ca="1">IFERROR(__xludf.DUMMYFUNCTION("""COMPUTED_VALUE"""),0)</f>
        <v>0</v>
      </c>
      <c r="N403" s="8"/>
    </row>
    <row r="404" spans="1:14" ht="12.45" hidden="1">
      <c r="A404" t="str">
        <f ca="1">IFERROR(__xludf.DUMMYFUNCTION("""COMPUTED_VALUE"""),"III-3-173")</f>
        <v>III-3-173</v>
      </c>
      <c r="B404" t="str">
        <f ca="1">IFERROR(__xludf.DUMMYFUNCTION("""COMPUTED_VALUE"""),"Иванов")</f>
        <v>Иванов</v>
      </c>
      <c r="C404" t="str">
        <f ca="1">IFERROR(__xludf.DUMMYFUNCTION("""COMPUTED_VALUE"""),"Дмитрий")</f>
        <v>Дмитрий</v>
      </c>
      <c r="D404" t="str">
        <f ca="1">IFERROR(__xludf.DUMMYFUNCTION("""COMPUTED_VALUE"""),"Школа 515")</f>
        <v>Школа 515</v>
      </c>
      <c r="E404" s="5">
        <f ca="1">IFERROR(__xludf.DUMMYFUNCTION("""COMPUTED_VALUE"""),0)</f>
        <v>0</v>
      </c>
      <c r="F404" s="5">
        <f ca="1">IFERROR(__xludf.DUMMYFUNCTION("""COMPUTED_VALUE"""),0)</f>
        <v>0</v>
      </c>
      <c r="G404" s="5">
        <f ca="1">IFERROR(__xludf.DUMMYFUNCTION("""COMPUTED_VALUE"""),0)</f>
        <v>0</v>
      </c>
      <c r="H404" s="5">
        <f ca="1">IFERROR(__xludf.DUMMYFUNCTION("""COMPUTED_VALUE"""),0)</f>
        <v>0</v>
      </c>
      <c r="I404" s="5">
        <f ca="1">IFERROR(__xludf.DUMMYFUNCTION("""COMPUTED_VALUE"""),0)</f>
        <v>0</v>
      </c>
      <c r="J404" s="5">
        <f ca="1">IFERROR(__xludf.DUMMYFUNCTION("""COMPUTED_VALUE"""),0)</f>
        <v>0</v>
      </c>
      <c r="K404" s="5">
        <f ca="1">IFERROR(__xludf.DUMMYFUNCTION("""COMPUTED_VALUE"""),0)</f>
        <v>0</v>
      </c>
      <c r="L404" s="5">
        <f ca="1">IFERROR(__xludf.DUMMYFUNCTION("""COMPUTED_VALUE"""),0)</f>
        <v>0</v>
      </c>
      <c r="M404">
        <f ca="1">IFERROR(__xludf.DUMMYFUNCTION("""COMPUTED_VALUE"""),0)</f>
        <v>0</v>
      </c>
      <c r="N404" s="8"/>
    </row>
    <row r="405" spans="1:14" ht="12.45" hidden="1">
      <c r="A405" t="str">
        <f ca="1">IFERROR(__xludf.DUMMYFUNCTION("""COMPUTED_VALUE"""),"V-3-353")</f>
        <v>V-3-353</v>
      </c>
      <c r="B405" t="str">
        <f ca="1">IFERROR(__xludf.DUMMYFUNCTION("""COMPUTED_VALUE"""),"Муха")</f>
        <v>Муха</v>
      </c>
      <c r="C405" t="str">
        <f ca="1">IFERROR(__xludf.DUMMYFUNCTION("""COMPUTED_VALUE"""),"Ника")</f>
        <v>Ника</v>
      </c>
      <c r="D405" t="str">
        <f ca="1">IFERROR(__xludf.DUMMYFUNCTION("""COMPUTED_VALUE"""),"Гимназия 157")</f>
        <v>Гимназия 157</v>
      </c>
      <c r="E405" s="5">
        <f ca="1">IFERROR(__xludf.DUMMYFUNCTION("""COMPUTED_VALUE"""),0)</f>
        <v>0</v>
      </c>
      <c r="F405" s="5">
        <f ca="1">IFERROR(__xludf.DUMMYFUNCTION("""COMPUTED_VALUE"""),0)</f>
        <v>0</v>
      </c>
      <c r="G405" s="5">
        <f ca="1">IFERROR(__xludf.DUMMYFUNCTION("""COMPUTED_VALUE"""),0)</f>
        <v>0</v>
      </c>
      <c r="H405" s="5">
        <f ca="1">IFERROR(__xludf.DUMMYFUNCTION("""COMPUTED_VALUE"""),0)</f>
        <v>0</v>
      </c>
      <c r="I405" s="5">
        <f ca="1">IFERROR(__xludf.DUMMYFUNCTION("""COMPUTED_VALUE"""),0)</f>
        <v>0</v>
      </c>
      <c r="J405" s="5">
        <f ca="1">IFERROR(__xludf.DUMMYFUNCTION("""COMPUTED_VALUE"""),0)</f>
        <v>0</v>
      </c>
      <c r="K405" s="5">
        <f ca="1">IFERROR(__xludf.DUMMYFUNCTION("""COMPUTED_VALUE"""),0)</f>
        <v>0</v>
      </c>
      <c r="L405" s="5">
        <f ca="1">IFERROR(__xludf.DUMMYFUNCTION("""COMPUTED_VALUE"""),0)</f>
        <v>0</v>
      </c>
      <c r="M405">
        <f ca="1">IFERROR(__xludf.DUMMYFUNCTION("""COMPUTED_VALUE"""),0)</f>
        <v>0</v>
      </c>
      <c r="N405" s="8"/>
    </row>
    <row r="406" spans="1:14" ht="12.45" hidden="1">
      <c r="A406" t="str">
        <f ca="1">IFERROR(__xludf.DUMMYFUNCTION("""COMPUTED_VALUE"""),"III-3-187")</f>
        <v>III-3-187</v>
      </c>
      <c r="B406" t="str">
        <f ca="1">IFERROR(__xludf.DUMMYFUNCTION("""COMPUTED_VALUE"""),"Исмаилов")</f>
        <v>Исмаилов</v>
      </c>
      <c r="C406" t="str">
        <f ca="1">IFERROR(__xludf.DUMMYFUNCTION("""COMPUTED_VALUE"""),"Руслан")</f>
        <v>Руслан</v>
      </c>
      <c r="D406" t="str">
        <f ca="1">IFERROR(__xludf.DUMMYFUNCTION("""COMPUTED_VALUE"""),"Школа 292")</f>
        <v>Школа 292</v>
      </c>
      <c r="E406" s="5"/>
      <c r="F406" s="5"/>
      <c r="G406" s="5"/>
      <c r="H406" s="5"/>
      <c r="I406" s="5"/>
      <c r="J406" s="5"/>
      <c r="K406" s="5"/>
      <c r="L406" s="5"/>
      <c r="M406">
        <f ca="1">IFERROR(__xludf.DUMMYFUNCTION("""COMPUTED_VALUE"""),0)</f>
        <v>0</v>
      </c>
      <c r="N406" s="8"/>
    </row>
    <row r="407" spans="1:14" ht="12.45" hidden="1">
      <c r="A407" t="str">
        <f ca="1">IFERROR(__xludf.DUMMYFUNCTION("""COMPUTED_VALUE"""),"III-3-264")</f>
        <v>III-3-264</v>
      </c>
      <c r="B407" t="str">
        <f ca="1">IFERROR(__xludf.DUMMYFUNCTION("""COMPUTED_VALUE"""),"Кулыгина")</f>
        <v>Кулыгина</v>
      </c>
      <c r="C407" t="str">
        <f ca="1">IFERROR(__xludf.DUMMYFUNCTION("""COMPUTED_VALUE"""),"Арина")</f>
        <v>Арина</v>
      </c>
      <c r="D407" t="str">
        <f ca="1">IFERROR(__xludf.DUMMYFUNCTION("""COMPUTED_VALUE"""),"Лицей 470")</f>
        <v>Лицей 470</v>
      </c>
      <c r="E407" s="5"/>
      <c r="F407" s="5"/>
      <c r="G407" s="5"/>
      <c r="H407" s="5"/>
      <c r="I407" s="5"/>
      <c r="J407" s="5"/>
      <c r="K407" s="5"/>
      <c r="L407" s="5"/>
      <c r="M407">
        <f ca="1">IFERROR(__xludf.DUMMYFUNCTION("""COMPUTED_VALUE"""),0)</f>
        <v>0</v>
      </c>
      <c r="N407" s="8"/>
    </row>
    <row r="408" spans="1:14" ht="12.45" hidden="1">
      <c r="A408" t="str">
        <f ca="1">IFERROR(__xludf.DUMMYFUNCTION("""COMPUTED_VALUE"""),"V-3-376")</f>
        <v>V-3-376</v>
      </c>
      <c r="B408" t="str">
        <f ca="1">IFERROR(__xludf.DUMMYFUNCTION("""COMPUTED_VALUE"""),"Носов")</f>
        <v>Носов</v>
      </c>
      <c r="C408" t="str">
        <f ca="1">IFERROR(__xludf.DUMMYFUNCTION("""COMPUTED_VALUE"""),"Иван")</f>
        <v>Иван</v>
      </c>
      <c r="D408" t="str">
        <f ca="1">IFERROR(__xludf.DUMMYFUNCTION("""COMPUTED_VALUE"""),"Лицей 126")</f>
        <v>Лицей 126</v>
      </c>
      <c r="E408" s="5"/>
      <c r="F408" s="5"/>
      <c r="G408" s="5"/>
      <c r="H408" s="5"/>
      <c r="I408" s="5"/>
      <c r="J408" s="5"/>
      <c r="K408" s="5"/>
      <c r="L408" s="5"/>
      <c r="M408">
        <f ca="1">IFERROR(__xludf.DUMMYFUNCTION("""COMPUTED_VALUE"""),0)</f>
        <v>0</v>
      </c>
      <c r="N408" s="8"/>
    </row>
    <row r="409" spans="1:14" ht="12.45" hidden="1">
      <c r="A409" t="str">
        <f ca="1">IFERROR(__xludf.DUMMYFUNCTION("""COMPUTED_VALUE"""),"V-3-469")</f>
        <v>V-3-469</v>
      </c>
      <c r="B409" t="str">
        <f ca="1">IFERROR(__xludf.DUMMYFUNCTION("""COMPUTED_VALUE"""),"Семёнова")</f>
        <v>Семёнова</v>
      </c>
      <c r="C409" t="str">
        <f ca="1">IFERROR(__xludf.DUMMYFUNCTION("""COMPUTED_VALUE"""),"Полина")</f>
        <v>Полина</v>
      </c>
      <c r="D409" t="str">
        <f ca="1">IFERROR(__xludf.DUMMYFUNCTION("""COMPUTED_VALUE"""),"Лицей 95")</f>
        <v>Лицей 95</v>
      </c>
      <c r="E409" s="5"/>
      <c r="F409" s="5"/>
      <c r="G409" s="5"/>
      <c r="H409" s="5"/>
      <c r="I409" s="5"/>
      <c r="J409" s="5"/>
      <c r="K409" s="5"/>
      <c r="L409" s="5"/>
      <c r="M409">
        <f ca="1">IFERROR(__xludf.DUMMYFUNCTION("""COMPUTED_VALUE"""),0)</f>
        <v>0</v>
      </c>
      <c r="N409" s="8"/>
    </row>
    <row r="410" spans="1:14" ht="12.45" hidden="1">
      <c r="A410" t="str">
        <f ca="1">IFERROR(__xludf.DUMMYFUNCTION("""COMPUTED_VALUE"""),"V-3-521")</f>
        <v>V-3-521</v>
      </c>
      <c r="B410" t="str">
        <f ca="1">IFERROR(__xludf.DUMMYFUNCTION("""COMPUTED_VALUE"""),"Торгашова")</f>
        <v>Торгашова</v>
      </c>
      <c r="C410" t="str">
        <f ca="1">IFERROR(__xludf.DUMMYFUNCTION("""COMPUTED_VALUE"""),"Марина")</f>
        <v>Марина</v>
      </c>
      <c r="D410" t="str">
        <f ca="1">IFERROR(__xludf.DUMMYFUNCTION("""COMPUTED_VALUE"""),"Лицей 533")</f>
        <v>Лицей 533</v>
      </c>
      <c r="E410" s="5"/>
      <c r="F410" s="5"/>
      <c r="G410" s="5"/>
      <c r="H410" s="5"/>
      <c r="I410" s="5"/>
      <c r="J410" s="5"/>
      <c r="K410" s="5"/>
      <c r="L410" s="5"/>
      <c r="M410">
        <f ca="1">IFERROR(__xludf.DUMMYFUNCTION("""COMPUTED_VALUE"""),0)</f>
        <v>0</v>
      </c>
      <c r="N410" s="8"/>
    </row>
    <row r="411" spans="1:14" ht="12.45" hidden="1">
      <c r="A411" t="str">
        <f ca="1">IFERROR(__xludf.DUMMYFUNCTION("""COMPUTED_VALUE"""),"V-3-557")</f>
        <v>V-3-557</v>
      </c>
      <c r="B411" t="str">
        <f ca="1">IFERROR(__xludf.DUMMYFUNCTION("""COMPUTED_VALUE"""),"Ходуров")</f>
        <v>Ходуров</v>
      </c>
      <c r="C411" t="str">
        <f ca="1">IFERROR(__xludf.DUMMYFUNCTION("""COMPUTED_VALUE"""),"Арсений")</f>
        <v>Арсений</v>
      </c>
      <c r="D411" t="str">
        <f ca="1">IFERROR(__xludf.DUMMYFUNCTION("""COMPUTED_VALUE"""),"Школа 175")</f>
        <v>Школа 175</v>
      </c>
      <c r="E411" s="5"/>
      <c r="F411" s="5"/>
      <c r="G411" s="5"/>
      <c r="H411" s="5"/>
      <c r="I411" s="5"/>
      <c r="J411" s="5"/>
      <c r="K411" s="5"/>
      <c r="L411" s="5"/>
      <c r="M411">
        <f ca="1">IFERROR(__xludf.DUMMYFUNCTION("""COMPUTED_VALUE"""),0)</f>
        <v>0</v>
      </c>
      <c r="N411" s="8"/>
    </row>
    <row r="412" spans="1:14" ht="12.45" hidden="1">
      <c r="A412" t="str">
        <f ca="1">IFERROR(__xludf.DUMMYFUNCTION("""COMPUTED_VALUE"""),"III-3-097")</f>
        <v>III-3-097</v>
      </c>
      <c r="B412" t="str">
        <f ca="1">IFERROR(__xludf.DUMMYFUNCTION("""COMPUTED_VALUE"""),"Гарузо-Мартынова")</f>
        <v>Гарузо-Мартынова</v>
      </c>
      <c r="C412" t="str">
        <f ca="1">IFERROR(__xludf.DUMMYFUNCTION("""COMPUTED_VALUE"""),"Надежда")</f>
        <v>Надежда</v>
      </c>
      <c r="D412" t="str">
        <f ca="1">IFERROR(__xludf.DUMMYFUNCTION("""COMPUTED_VALUE"""),"Школа 497")</f>
        <v>Школа 497</v>
      </c>
      <c r="E412" s="5"/>
      <c r="F412" s="5"/>
      <c r="G412" s="5"/>
      <c r="H412" s="5"/>
      <c r="I412" s="5"/>
      <c r="J412" s="5"/>
      <c r="K412" s="5"/>
      <c r="L412" s="5"/>
      <c r="M412">
        <f ca="1">IFERROR(__xludf.DUMMYFUNCTION("""COMPUTED_VALUE"""),0)</f>
        <v>0</v>
      </c>
      <c r="N412" s="8"/>
    </row>
    <row r="413" spans="1:14" ht="12.45" hidden="1">
      <c r="A413" t="str">
        <f ca="1">IFERROR(__xludf.DUMMYFUNCTION("""COMPUTED_VALUE"""),"III-3-015")</f>
        <v>III-3-015</v>
      </c>
      <c r="B413" t="str">
        <f ca="1">IFERROR(__xludf.DUMMYFUNCTION("""COMPUTED_VALUE"""),"Андреев")</f>
        <v>Андреев</v>
      </c>
      <c r="C413" t="str">
        <f ca="1">IFERROR(__xludf.DUMMYFUNCTION("""COMPUTED_VALUE"""),"Кирилл")</f>
        <v>Кирилл</v>
      </c>
      <c r="D413" t="str">
        <f ca="1">IFERROR(__xludf.DUMMYFUNCTION("""COMPUTED_VALUE"""),"Школа 23")</f>
        <v>Школа 23</v>
      </c>
      <c r="E413" s="5"/>
      <c r="F413" s="5"/>
      <c r="G413" s="5"/>
      <c r="H413" s="5"/>
      <c r="I413" s="5"/>
      <c r="J413" s="5"/>
      <c r="K413" s="5"/>
      <c r="L413" s="5"/>
      <c r="M413">
        <f ca="1">IFERROR(__xludf.DUMMYFUNCTION("""COMPUTED_VALUE"""),0)</f>
        <v>0</v>
      </c>
      <c r="N413" s="8"/>
    </row>
    <row r="414" spans="1:14" ht="12.45" hidden="1">
      <c r="A414" t="str">
        <f ca="1">IFERROR(__xludf.DUMMYFUNCTION("""COMPUTED_VALUE"""),"III-3-044")</f>
        <v>III-3-044</v>
      </c>
      <c r="B414" t="str">
        <f ca="1">IFERROR(__xludf.DUMMYFUNCTION("""COMPUTED_VALUE"""),"Бербеничук")</f>
        <v>Бербеничук</v>
      </c>
      <c r="C414" t="str">
        <f ca="1">IFERROR(__xludf.DUMMYFUNCTION("""COMPUTED_VALUE"""),"Михаил")</f>
        <v>Михаил</v>
      </c>
      <c r="D414" t="str">
        <f ca="1">IFERROR(__xludf.DUMMYFUNCTION("""COMPUTED_VALUE"""),"Лицей 329")</f>
        <v>Лицей 329</v>
      </c>
      <c r="E414" s="5"/>
      <c r="F414" s="5"/>
      <c r="G414" s="5"/>
      <c r="H414" s="5"/>
      <c r="I414" s="5"/>
      <c r="J414" s="5"/>
      <c r="K414" s="5"/>
      <c r="L414" s="5"/>
      <c r="M414">
        <f ca="1">IFERROR(__xludf.DUMMYFUNCTION("""COMPUTED_VALUE"""),0)</f>
        <v>0</v>
      </c>
      <c r="N414" s="8"/>
    </row>
    <row r="415" spans="1:14" ht="12.45" hidden="1">
      <c r="A415" t="str">
        <f ca="1">IFERROR(__xludf.DUMMYFUNCTION("""COMPUTED_VALUE"""),"III-3-030")</f>
        <v>III-3-030</v>
      </c>
      <c r="B415" t="str">
        <f ca="1">IFERROR(__xludf.DUMMYFUNCTION("""COMPUTED_VALUE"""),"Бакаушина")</f>
        <v>Бакаушина</v>
      </c>
      <c r="C415" t="str">
        <f ca="1">IFERROR(__xludf.DUMMYFUNCTION("""COMPUTED_VALUE"""),"Юлия")</f>
        <v>Юлия</v>
      </c>
      <c r="D415" t="str">
        <f ca="1">IFERROR(__xludf.DUMMYFUNCTION("""COMPUTED_VALUE"""),"Лицей 329")</f>
        <v>Лицей 329</v>
      </c>
      <c r="E415" s="5"/>
      <c r="F415" s="5"/>
      <c r="G415" s="5"/>
      <c r="H415" s="5"/>
      <c r="I415" s="5"/>
      <c r="J415" s="5"/>
      <c r="K415" s="5"/>
      <c r="L415" s="5"/>
      <c r="M415">
        <f ca="1">IFERROR(__xludf.DUMMYFUNCTION("""COMPUTED_VALUE"""),0)</f>
        <v>0</v>
      </c>
      <c r="N415" s="8"/>
    </row>
    <row r="416" spans="1:14" ht="12.45" hidden="1">
      <c r="A416" t="str">
        <f ca="1">IFERROR(__xludf.DUMMYFUNCTION("""COMPUTED_VALUE"""),"V-3-400")</f>
        <v>V-3-400</v>
      </c>
      <c r="B416" t="str">
        <f ca="1">IFERROR(__xludf.DUMMYFUNCTION("""COMPUTED_VALUE"""),"Панков")</f>
        <v>Панков</v>
      </c>
      <c r="C416" t="str">
        <f ca="1">IFERROR(__xludf.DUMMYFUNCTION("""COMPUTED_VALUE"""),"Даниил")</f>
        <v>Даниил</v>
      </c>
      <c r="D416" t="str">
        <f ca="1">IFERROR(__xludf.DUMMYFUNCTION("""COMPUTED_VALUE"""),"Лицей 329")</f>
        <v>Лицей 329</v>
      </c>
      <c r="E416" s="5"/>
      <c r="F416" s="5"/>
      <c r="G416" s="5"/>
      <c r="H416" s="5"/>
      <c r="I416" s="5"/>
      <c r="J416" s="5"/>
      <c r="K416" s="5"/>
      <c r="L416" s="5"/>
      <c r="M416">
        <f ca="1">IFERROR(__xludf.DUMMYFUNCTION("""COMPUTED_VALUE"""),0)</f>
        <v>0</v>
      </c>
      <c r="N416" s="8"/>
    </row>
    <row r="417" spans="1:14" ht="12.45" hidden="1">
      <c r="A417" t="str">
        <f ca="1">IFERROR(__xludf.DUMMYFUNCTION("""COMPUTED_VALUE"""),"III-3-266")</f>
        <v>III-3-266</v>
      </c>
      <c r="B417" t="str">
        <f ca="1">IFERROR(__xludf.DUMMYFUNCTION("""COMPUTED_VALUE"""),"Куракин")</f>
        <v>Куракин</v>
      </c>
      <c r="C417" t="str">
        <f ca="1">IFERROR(__xludf.DUMMYFUNCTION("""COMPUTED_VALUE"""),"Владимир")</f>
        <v>Владимир</v>
      </c>
      <c r="D417" t="str">
        <f ca="1">IFERROR(__xludf.DUMMYFUNCTION("""COMPUTED_VALUE"""),"Лицей 329")</f>
        <v>Лицей 329</v>
      </c>
      <c r="E417" s="5"/>
      <c r="F417" s="5"/>
      <c r="G417" s="5"/>
      <c r="H417" s="5"/>
      <c r="I417" s="5"/>
      <c r="J417" s="5"/>
      <c r="K417" s="5"/>
      <c r="L417" s="5"/>
      <c r="M417">
        <f ca="1">IFERROR(__xludf.DUMMYFUNCTION("""COMPUTED_VALUE"""),0)</f>
        <v>0</v>
      </c>
      <c r="N417" s="8"/>
    </row>
    <row r="418" spans="1:14" ht="12.45" hidden="1">
      <c r="A418" t="str">
        <f ca="1">IFERROR(__xludf.DUMMYFUNCTION("""COMPUTED_VALUE"""),"V-3-528")</f>
        <v>V-3-528</v>
      </c>
      <c r="B418" t="str">
        <f ca="1">IFERROR(__xludf.DUMMYFUNCTION("""COMPUTED_VALUE"""),"Туманов")</f>
        <v>Туманов</v>
      </c>
      <c r="C418" t="str">
        <f ca="1">IFERROR(__xludf.DUMMYFUNCTION("""COMPUTED_VALUE"""),"Андрей")</f>
        <v>Андрей</v>
      </c>
      <c r="D418" t="str">
        <f ca="1">IFERROR(__xludf.DUMMYFUNCTION("""COMPUTED_VALUE"""),"Лицей 329")</f>
        <v>Лицей 329</v>
      </c>
      <c r="E418" s="5"/>
      <c r="F418" s="5"/>
      <c r="G418" s="5"/>
      <c r="H418" s="5"/>
      <c r="I418" s="5"/>
      <c r="J418" s="5"/>
      <c r="K418" s="5"/>
      <c r="L418" s="5"/>
      <c r="M418">
        <f ca="1">IFERROR(__xludf.DUMMYFUNCTION("""COMPUTED_VALUE"""),0)</f>
        <v>0</v>
      </c>
      <c r="N418" s="8"/>
    </row>
    <row r="419" spans="1:14" ht="12.45" hidden="1">
      <c r="A419" t="str">
        <f ca="1">IFERROR(__xludf.DUMMYFUNCTION("""COMPUTED_VALUE"""),"III-3-161")</f>
        <v>III-3-161</v>
      </c>
      <c r="B419" t="str">
        <f ca="1">IFERROR(__xludf.DUMMYFUNCTION("""COMPUTED_VALUE"""),"Захарова")</f>
        <v>Захарова</v>
      </c>
      <c r="C419" t="str">
        <f ca="1">IFERROR(__xludf.DUMMYFUNCTION("""COMPUTED_VALUE"""),"Юлия")</f>
        <v>Юлия</v>
      </c>
      <c r="D419" t="str">
        <f ca="1">IFERROR(__xludf.DUMMYFUNCTION("""COMPUTED_VALUE"""),"Лицей 101")</f>
        <v>Лицей 101</v>
      </c>
      <c r="E419" s="5"/>
      <c r="F419" s="5"/>
      <c r="G419" s="5"/>
      <c r="H419" s="5"/>
      <c r="I419" s="5"/>
      <c r="J419" s="5"/>
      <c r="K419" s="5"/>
      <c r="L419" s="5"/>
      <c r="M419">
        <f ca="1">IFERROR(__xludf.DUMMYFUNCTION("""COMPUTED_VALUE"""),0)</f>
        <v>0</v>
      </c>
      <c r="N419" s="8"/>
    </row>
    <row r="420" spans="1:14" ht="12.45" hidden="1">
      <c r="A420" t="str">
        <f ca="1">IFERROR(__xludf.DUMMYFUNCTION("""COMPUTED_VALUE"""),"V-3-334")</f>
        <v>V-3-334</v>
      </c>
      <c r="B420" t="str">
        <f ca="1">IFERROR(__xludf.DUMMYFUNCTION("""COMPUTED_VALUE"""),"Митрофанов")</f>
        <v>Митрофанов</v>
      </c>
      <c r="C420" t="str">
        <f ca="1">IFERROR(__xludf.DUMMYFUNCTION("""COMPUTED_VALUE"""),"Михаил")</f>
        <v>Михаил</v>
      </c>
      <c r="D420" t="str">
        <f ca="1">IFERROR(__xludf.DUMMYFUNCTION("""COMPUTED_VALUE"""),"Лицей 101")</f>
        <v>Лицей 101</v>
      </c>
      <c r="E420" s="5"/>
      <c r="F420" s="5"/>
      <c r="G420" s="5"/>
      <c r="H420" s="5"/>
      <c r="I420" s="5"/>
      <c r="J420" s="5"/>
      <c r="K420" s="5"/>
      <c r="L420" s="5"/>
      <c r="M420">
        <f ca="1">IFERROR(__xludf.DUMMYFUNCTION("""COMPUTED_VALUE"""),0)</f>
        <v>0</v>
      </c>
      <c r="N420" s="8"/>
    </row>
    <row r="421" spans="1:14" ht="12.45" hidden="1">
      <c r="A421" t="str">
        <f ca="1">IFERROR(__xludf.DUMMYFUNCTION("""COMPUTED_VALUE"""),"V-3-578")</f>
        <v>V-3-578</v>
      </c>
      <c r="B421" t="str">
        <f ca="1">IFERROR(__xludf.DUMMYFUNCTION("""COMPUTED_VALUE"""),"Шапошников")</f>
        <v>Шапошников</v>
      </c>
      <c r="C421" t="str">
        <f ca="1">IFERROR(__xludf.DUMMYFUNCTION("""COMPUTED_VALUE"""),"Вячеслав")</f>
        <v>Вячеслав</v>
      </c>
      <c r="D421" t="str">
        <f ca="1">IFERROR(__xludf.DUMMYFUNCTION("""COMPUTED_VALUE"""),"Гимназия 642")</f>
        <v>Гимназия 642</v>
      </c>
      <c r="E421" s="5"/>
      <c r="F421" s="5"/>
      <c r="G421" s="5"/>
      <c r="H421" s="5"/>
      <c r="I421" s="5"/>
      <c r="J421" s="5"/>
      <c r="K421" s="5"/>
      <c r="L421" s="5"/>
      <c r="M421">
        <f ca="1">IFERROR(__xludf.DUMMYFUNCTION("""COMPUTED_VALUE"""),0)</f>
        <v>0</v>
      </c>
      <c r="N421" s="8"/>
    </row>
    <row r="422" spans="1:14" ht="12.45" hidden="1">
      <c r="A422" t="str">
        <f ca="1">IFERROR(__xludf.DUMMYFUNCTION("""COMPUTED_VALUE"""),"III-3-078")</f>
        <v>III-3-078</v>
      </c>
      <c r="B422" t="str">
        <f ca="1">IFERROR(__xludf.DUMMYFUNCTION("""COMPUTED_VALUE"""),"Вдовин")</f>
        <v>Вдовин</v>
      </c>
      <c r="C422" t="str">
        <f ca="1">IFERROR(__xludf.DUMMYFUNCTION("""COMPUTED_VALUE"""),"Алексей")</f>
        <v>Алексей</v>
      </c>
      <c r="D422" t="str">
        <f ca="1">IFERROR(__xludf.DUMMYFUNCTION("""COMPUTED_VALUE"""),"Лицей 642")</f>
        <v>Лицей 642</v>
      </c>
      <c r="E422" s="5"/>
      <c r="F422" s="5"/>
      <c r="G422" s="5"/>
      <c r="H422" s="5"/>
      <c r="I422" s="5"/>
      <c r="J422" s="5"/>
      <c r="K422" s="5"/>
      <c r="L422" s="5"/>
      <c r="M422">
        <f ca="1">IFERROR(__xludf.DUMMYFUNCTION("""COMPUTED_VALUE"""),0)</f>
        <v>0</v>
      </c>
      <c r="N422" s="8"/>
    </row>
    <row r="423" spans="1:14" ht="12.45" hidden="1">
      <c r="A423" t="str">
        <f ca="1">IFERROR(__xludf.DUMMYFUNCTION("""COMPUTED_VALUE"""),"V-3-601")</f>
        <v>V-3-601</v>
      </c>
      <c r="B423" t="str">
        <f ca="1">IFERROR(__xludf.DUMMYFUNCTION("""COMPUTED_VALUE"""),"Ясько")</f>
        <v>Ясько</v>
      </c>
      <c r="C423" t="str">
        <f ca="1">IFERROR(__xludf.DUMMYFUNCTION("""COMPUTED_VALUE"""),"Артём")</f>
        <v>Артём</v>
      </c>
      <c r="D423" t="str">
        <f ca="1">IFERROR(__xludf.DUMMYFUNCTION("""COMPUTED_VALUE"""),"Школа Квадривиум")</f>
        <v>Школа Квадривиум</v>
      </c>
      <c r="E423" s="5"/>
      <c r="F423" s="5"/>
      <c r="G423" s="5"/>
      <c r="H423" s="5"/>
      <c r="I423" s="5"/>
      <c r="J423" s="5"/>
      <c r="K423" s="5"/>
      <c r="L423" s="5"/>
      <c r="M423">
        <f ca="1">IFERROR(__xludf.DUMMYFUNCTION("""COMPUTED_VALUE"""),0)</f>
        <v>0</v>
      </c>
      <c r="N423" s="8"/>
    </row>
    <row r="424" spans="1:14" ht="12.45" hidden="1">
      <c r="A424" t="str">
        <f ca="1">IFERROR(__xludf.DUMMYFUNCTION("""COMPUTED_VALUE"""),"III-3-263")</f>
        <v>III-3-263</v>
      </c>
      <c r="B424" t="str">
        <f ca="1">IFERROR(__xludf.DUMMYFUNCTION("""COMPUTED_VALUE"""),"Куликов")</f>
        <v>Куликов</v>
      </c>
      <c r="C424" t="str">
        <f ca="1">IFERROR(__xludf.DUMMYFUNCTION("""COMPUTED_VALUE"""),"Матвей")</f>
        <v>Матвей</v>
      </c>
      <c r="D424" t="str">
        <f ca="1">IFERROR(__xludf.DUMMYFUNCTION("""COMPUTED_VALUE"""),"Школа Квадривиум")</f>
        <v>Школа Квадривиум</v>
      </c>
      <c r="E424" s="5"/>
      <c r="F424" s="5"/>
      <c r="G424" s="5"/>
      <c r="H424" s="5"/>
      <c r="I424" s="5"/>
      <c r="J424" s="5"/>
      <c r="K424" s="5"/>
      <c r="L424" s="5"/>
      <c r="M424">
        <f ca="1">IFERROR(__xludf.DUMMYFUNCTION("""COMPUTED_VALUE"""),0)</f>
        <v>0</v>
      </c>
      <c r="N424" s="8"/>
    </row>
    <row r="425" spans="1:14" ht="12.45" hidden="1">
      <c r="A425" t="str">
        <f ca="1">IFERROR(__xludf.DUMMYFUNCTION("""COMPUTED_VALUE"""),"V-3-345")</f>
        <v>V-3-345</v>
      </c>
      <c r="B425" t="str">
        <f ca="1">IFERROR(__xludf.DUMMYFUNCTION("""COMPUTED_VALUE"""),"Музыка")</f>
        <v>Музыка</v>
      </c>
      <c r="C425" t="str">
        <f ca="1">IFERROR(__xludf.DUMMYFUNCTION("""COMPUTED_VALUE"""),"Диана")</f>
        <v>Диана</v>
      </c>
      <c r="D425" t="str">
        <f ca="1">IFERROR(__xludf.DUMMYFUNCTION("""COMPUTED_VALUE"""),"Школа Квадривиум")</f>
        <v>Школа Квадривиум</v>
      </c>
      <c r="E425" s="5"/>
      <c r="F425" s="5"/>
      <c r="G425" s="5"/>
      <c r="H425" s="5"/>
      <c r="I425" s="5"/>
      <c r="J425" s="5"/>
      <c r="K425" s="5"/>
      <c r="L425" s="5"/>
      <c r="M425">
        <f ca="1">IFERROR(__xludf.DUMMYFUNCTION("""COMPUTED_VALUE"""),0)</f>
        <v>0</v>
      </c>
      <c r="N425" s="8"/>
    </row>
    <row r="426" spans="1:14" ht="12.45" hidden="1">
      <c r="A426" t="str">
        <f ca="1">IFERROR(__xludf.DUMMYFUNCTION("""COMPUTED_VALUE"""),"V-3-571")</f>
        <v>V-3-571</v>
      </c>
      <c r="B426" t="str">
        <f ca="1">IFERROR(__xludf.DUMMYFUNCTION("""COMPUTED_VALUE"""),"Чичканова")</f>
        <v>Чичканова</v>
      </c>
      <c r="C426" t="str">
        <f ca="1">IFERROR(__xludf.DUMMYFUNCTION("""COMPUTED_VALUE"""),"Анастасия")</f>
        <v>Анастасия</v>
      </c>
      <c r="D426" t="str">
        <f ca="1">IFERROR(__xludf.DUMMYFUNCTION("""COMPUTED_VALUE"""),"Школа Квадривиум")</f>
        <v>Школа Квадривиум</v>
      </c>
      <c r="E426" s="5"/>
      <c r="F426" s="5"/>
      <c r="G426" s="5"/>
      <c r="H426" s="5"/>
      <c r="I426" s="5"/>
      <c r="J426" s="5"/>
      <c r="K426" s="5"/>
      <c r="L426" s="5"/>
      <c r="M426">
        <f ca="1">IFERROR(__xludf.DUMMYFUNCTION("""COMPUTED_VALUE"""),0)</f>
        <v>0</v>
      </c>
      <c r="N426" s="8"/>
    </row>
    <row r="427" spans="1:14" ht="12.45" hidden="1">
      <c r="A427" t="str">
        <f ca="1">IFERROR(__xludf.DUMMYFUNCTION("""COMPUTED_VALUE"""),"III-3-061")</f>
        <v>III-3-061</v>
      </c>
      <c r="B427" t="str">
        <f ca="1">IFERROR(__xludf.DUMMYFUNCTION("""COMPUTED_VALUE"""),"Бубучи")</f>
        <v>Бубучи</v>
      </c>
      <c r="C427" t="str">
        <f ca="1">IFERROR(__xludf.DUMMYFUNCTION("""COMPUTED_VALUE"""),"Виктория")</f>
        <v>Виктория</v>
      </c>
      <c r="D427" t="str">
        <f ca="1">IFERROR(__xludf.DUMMYFUNCTION("""COMPUTED_VALUE"""),"Школа 468")</f>
        <v>Школа 468</v>
      </c>
      <c r="E427" s="5"/>
      <c r="F427" s="5"/>
      <c r="G427" s="5"/>
      <c r="H427" s="5"/>
      <c r="I427" s="5"/>
      <c r="J427" s="5"/>
      <c r="K427" s="5"/>
      <c r="L427" s="5"/>
      <c r="M427">
        <f ca="1">IFERROR(__xludf.DUMMYFUNCTION("""COMPUTED_VALUE"""),0)</f>
        <v>0</v>
      </c>
      <c r="N427" s="8"/>
    </row>
    <row r="428" spans="1:14" ht="12.45" hidden="1">
      <c r="A428" t="str">
        <f ca="1">IFERROR(__xludf.DUMMYFUNCTION("""COMPUTED_VALUE"""),"III-3-070")</f>
        <v>III-3-070</v>
      </c>
      <c r="B428" t="str">
        <f ca="1">IFERROR(__xludf.DUMMYFUNCTION("""COMPUTED_VALUE"""),"Вальтц")</f>
        <v>Вальтц</v>
      </c>
      <c r="C428" t="str">
        <f ca="1">IFERROR(__xludf.DUMMYFUNCTION("""COMPUTED_VALUE"""),"Мария")</f>
        <v>Мария</v>
      </c>
      <c r="D428" t="str">
        <f ca="1">IFERROR(__xludf.DUMMYFUNCTION("""COMPUTED_VALUE"""),"Школа 557")</f>
        <v>Школа 557</v>
      </c>
      <c r="E428" s="5"/>
      <c r="F428" s="5"/>
      <c r="G428" s="5"/>
      <c r="H428" s="5"/>
      <c r="I428" s="5"/>
      <c r="J428" s="5"/>
      <c r="K428" s="5"/>
      <c r="L428" s="5"/>
      <c r="M428">
        <f ca="1">IFERROR(__xludf.DUMMYFUNCTION("""COMPUTED_VALUE"""),0)</f>
        <v>0</v>
      </c>
      <c r="N428" s="8"/>
    </row>
    <row r="429" spans="1:14" ht="12.45" hidden="1">
      <c r="A429" t="str">
        <f ca="1">IFERROR(__xludf.DUMMYFUNCTION("""COMPUTED_VALUE"""),"V-3-440")</f>
        <v>V-3-440</v>
      </c>
      <c r="B429" t="str">
        <f ca="1">IFERROR(__xludf.DUMMYFUNCTION("""COMPUTED_VALUE"""),"Романов")</f>
        <v>Романов</v>
      </c>
      <c r="C429" t="str">
        <f ca="1">IFERROR(__xludf.DUMMYFUNCTION("""COMPUTED_VALUE"""),"Артур")</f>
        <v>Артур</v>
      </c>
      <c r="D429" t="str">
        <f ca="1">IFERROR(__xludf.DUMMYFUNCTION("""COMPUTED_VALUE"""),"Школа 482")</f>
        <v>Школа 482</v>
      </c>
      <c r="E429" s="5"/>
      <c r="F429" s="5"/>
      <c r="G429" s="5"/>
      <c r="H429" s="5"/>
      <c r="I429" s="5"/>
      <c r="J429" s="5"/>
      <c r="K429" s="5"/>
      <c r="L429" s="5"/>
      <c r="M429">
        <f ca="1">IFERROR(__xludf.DUMMYFUNCTION("""COMPUTED_VALUE"""),0)</f>
        <v>0</v>
      </c>
      <c r="N429" s="8"/>
    </row>
    <row r="430" spans="1:14" ht="12.45" hidden="1">
      <c r="A430" t="str">
        <f ca="1">IFERROR(__xludf.DUMMYFUNCTION("""COMPUTED_VALUE"""),"III-3-002")</f>
        <v>III-3-002</v>
      </c>
      <c r="B430" t="str">
        <f ca="1">IFERROR(__xludf.DUMMYFUNCTION("""COMPUTED_VALUE"""),"Абросимов")</f>
        <v>Абросимов</v>
      </c>
      <c r="C430" t="str">
        <f ca="1">IFERROR(__xludf.DUMMYFUNCTION("""COMPUTED_VALUE"""),"Сергей")</f>
        <v>Сергей</v>
      </c>
      <c r="D430" t="str">
        <f ca="1">IFERROR(__xludf.DUMMYFUNCTION("""COMPUTED_VALUE"""),"Школа 482")</f>
        <v>Школа 482</v>
      </c>
      <c r="E430" s="5"/>
      <c r="F430" s="5"/>
      <c r="G430" s="5"/>
      <c r="H430" s="5"/>
      <c r="I430" s="5"/>
      <c r="J430" s="5"/>
      <c r="K430" s="5"/>
      <c r="L430" s="5"/>
      <c r="M430">
        <f ca="1">IFERROR(__xludf.DUMMYFUNCTION("""COMPUTED_VALUE"""),0)</f>
        <v>0</v>
      </c>
      <c r="N430" s="8"/>
    </row>
    <row r="431" spans="1:14" ht="12.45" hidden="1">
      <c r="A431" t="str">
        <f ca="1">IFERROR(__xludf.DUMMYFUNCTION("""COMPUTED_VALUE"""),"III-3-075")</f>
        <v>III-3-075</v>
      </c>
      <c r="B431" t="str">
        <f ca="1">IFERROR(__xludf.DUMMYFUNCTION("""COMPUTED_VALUE"""),"Ватаев")</f>
        <v>Ватаев</v>
      </c>
      <c r="C431" t="str">
        <f ca="1">IFERROR(__xludf.DUMMYFUNCTION("""COMPUTED_VALUE"""),"Давид")</f>
        <v>Давид</v>
      </c>
      <c r="D431" t="str">
        <f ca="1">IFERROR(__xludf.DUMMYFUNCTION("""COMPUTED_VALUE"""),"Школа 482")</f>
        <v>Школа 482</v>
      </c>
      <c r="E431" s="5"/>
      <c r="F431" s="5"/>
      <c r="G431" s="5"/>
      <c r="H431" s="5"/>
      <c r="I431" s="5"/>
      <c r="J431" s="5"/>
      <c r="K431" s="5"/>
      <c r="L431" s="5"/>
      <c r="M431">
        <f ca="1">IFERROR(__xludf.DUMMYFUNCTION("""COMPUTED_VALUE"""),0)</f>
        <v>0</v>
      </c>
      <c r="N431" s="8"/>
    </row>
    <row r="432" spans="1:14" ht="12.45" hidden="1">
      <c r="A432" t="str">
        <f ca="1">IFERROR(__xludf.DUMMYFUNCTION("""COMPUTED_VALUE"""),"V-3-573")</f>
        <v>V-3-573</v>
      </c>
      <c r="B432" t="str">
        <f ca="1">IFERROR(__xludf.DUMMYFUNCTION("""COMPUTED_VALUE"""),"Чуканова")</f>
        <v>Чуканова</v>
      </c>
      <c r="C432" t="str">
        <f ca="1">IFERROR(__xludf.DUMMYFUNCTION("""COMPUTED_VALUE"""),"Марина")</f>
        <v>Марина</v>
      </c>
      <c r="D432" t="str">
        <f ca="1">IFERROR(__xludf.DUMMYFUNCTION("""COMPUTED_VALUE"""),"Школа 482")</f>
        <v>Школа 482</v>
      </c>
      <c r="E432" s="5"/>
      <c r="F432" s="5"/>
      <c r="G432" s="5"/>
      <c r="H432" s="5"/>
      <c r="I432" s="5"/>
      <c r="J432" s="5"/>
      <c r="K432" s="5"/>
      <c r="L432" s="5"/>
      <c r="M432">
        <f ca="1">IFERROR(__xludf.DUMMYFUNCTION("""COMPUTED_VALUE"""),0)</f>
        <v>0</v>
      </c>
      <c r="N432" s="8"/>
    </row>
    <row r="433" spans="1:14" ht="12.45" hidden="1">
      <c r="A433" t="str">
        <f ca="1">IFERROR(__xludf.DUMMYFUNCTION("""COMPUTED_VALUE"""),"III-3-193")</f>
        <v>III-3-193</v>
      </c>
      <c r="B433" t="str">
        <f ca="1">IFERROR(__xludf.DUMMYFUNCTION("""COMPUTED_VALUE"""),"Казлов")</f>
        <v>Казлов</v>
      </c>
      <c r="C433" t="str">
        <f ca="1">IFERROR(__xludf.DUMMYFUNCTION("""COMPUTED_VALUE"""),"Макар")</f>
        <v>Макар</v>
      </c>
      <c r="D433" t="str">
        <f ca="1">IFERROR(__xludf.DUMMYFUNCTION("""COMPUTED_VALUE"""),"Школа 482")</f>
        <v>Школа 482</v>
      </c>
      <c r="E433" s="5"/>
      <c r="F433" s="5"/>
      <c r="G433" s="5"/>
      <c r="H433" s="5"/>
      <c r="I433" s="5"/>
      <c r="J433" s="5"/>
      <c r="K433" s="5"/>
      <c r="L433" s="5"/>
      <c r="M433">
        <f ca="1">IFERROR(__xludf.DUMMYFUNCTION("""COMPUTED_VALUE"""),0)</f>
        <v>0</v>
      </c>
      <c r="N433" s="8"/>
    </row>
    <row r="434" spans="1:14" ht="12.45" hidden="1">
      <c r="A434" t="str">
        <f ca="1">IFERROR(__xludf.DUMMYFUNCTION("""COMPUTED_VALUE"""),"V-3-572")</f>
        <v>V-3-572</v>
      </c>
      <c r="B434" t="str">
        <f ca="1">IFERROR(__xludf.DUMMYFUNCTION("""COMPUTED_VALUE"""),"Чуканова")</f>
        <v>Чуканова</v>
      </c>
      <c r="C434" t="str">
        <f ca="1">IFERROR(__xludf.DUMMYFUNCTION("""COMPUTED_VALUE"""),"Янина")</f>
        <v>Янина</v>
      </c>
      <c r="D434" t="str">
        <f ca="1">IFERROR(__xludf.DUMMYFUNCTION("""COMPUTED_VALUE"""),"Школа 482")</f>
        <v>Школа 482</v>
      </c>
      <c r="E434" s="5"/>
      <c r="F434" s="5"/>
      <c r="G434" s="5"/>
      <c r="H434" s="5"/>
      <c r="I434" s="5"/>
      <c r="J434" s="5"/>
      <c r="K434" s="5"/>
      <c r="L434" s="5"/>
      <c r="M434">
        <f ca="1">IFERROR(__xludf.DUMMYFUNCTION("""COMPUTED_VALUE"""),0)</f>
        <v>0</v>
      </c>
      <c r="N434" s="8"/>
    </row>
    <row r="435" spans="1:14" ht="12.45" hidden="1">
      <c r="A435" t="str">
        <f ca="1">IFERROR(__xludf.DUMMYFUNCTION("""COMPUTED_VALUE"""),"III-3-211")</f>
        <v>III-3-211</v>
      </c>
      <c r="B435" t="str">
        <f ca="1">IFERROR(__xludf.DUMMYFUNCTION("""COMPUTED_VALUE"""),"Киселев")</f>
        <v>Киселев</v>
      </c>
      <c r="C435" t="str">
        <f ca="1">IFERROR(__xludf.DUMMYFUNCTION("""COMPUTED_VALUE"""),"Иван")</f>
        <v>Иван</v>
      </c>
      <c r="D435" t="str">
        <f ca="1">IFERROR(__xludf.DUMMYFUNCTION("""COMPUTED_VALUE"""),"Гимназия 652")</f>
        <v>Гимназия 652</v>
      </c>
      <c r="E435" s="5"/>
      <c r="F435" s="5"/>
      <c r="G435" s="5"/>
      <c r="H435" s="5"/>
      <c r="I435" s="5"/>
      <c r="J435" s="5"/>
      <c r="K435" s="5"/>
      <c r="L435" s="5"/>
      <c r="M435">
        <f ca="1">IFERROR(__xludf.DUMMYFUNCTION("""COMPUTED_VALUE"""),0)</f>
        <v>0</v>
      </c>
      <c r="N435" s="8"/>
    </row>
    <row r="436" spans="1:14" ht="12.45" hidden="1">
      <c r="A436" t="str">
        <f ca="1">IFERROR(__xludf.DUMMYFUNCTION("""COMPUTED_VALUE"""),"III-3-288")</f>
        <v>III-3-288</v>
      </c>
      <c r="B436" t="str">
        <f ca="1">IFERROR(__xludf.DUMMYFUNCTION("""COMPUTED_VALUE"""),"Ли")</f>
        <v>Ли</v>
      </c>
      <c r="C436" t="str">
        <f ca="1">IFERROR(__xludf.DUMMYFUNCTION("""COMPUTED_VALUE"""),"Михаил")</f>
        <v>Михаил</v>
      </c>
      <c r="D436" t="str">
        <f ca="1">IFERROR(__xludf.DUMMYFUNCTION("""COMPUTED_VALUE"""),"Гимназия 652")</f>
        <v>Гимназия 652</v>
      </c>
      <c r="E436" s="5"/>
      <c r="F436" s="5"/>
      <c r="G436" s="5"/>
      <c r="H436" s="5"/>
      <c r="I436" s="5"/>
      <c r="J436" s="5"/>
      <c r="K436" s="5"/>
      <c r="L436" s="5"/>
      <c r="M436">
        <f ca="1">IFERROR(__xludf.DUMMYFUNCTION("""COMPUTED_VALUE"""),0)</f>
        <v>0</v>
      </c>
      <c r="N436" s="8"/>
    </row>
    <row r="437" spans="1:14" ht="12.45" hidden="1">
      <c r="A437" t="str">
        <f ca="1">IFERROR(__xludf.DUMMYFUNCTION("""COMPUTED_VALUE"""),"V-3-489")</f>
        <v>V-3-489</v>
      </c>
      <c r="B437" t="str">
        <f ca="1">IFERROR(__xludf.DUMMYFUNCTION("""COMPUTED_VALUE"""),"Смирнов")</f>
        <v>Смирнов</v>
      </c>
      <c r="C437" t="str">
        <f ca="1">IFERROR(__xludf.DUMMYFUNCTION("""COMPUTED_VALUE"""),"Алексей")</f>
        <v>Алексей</v>
      </c>
      <c r="D437" t="str">
        <f ca="1">IFERROR(__xludf.DUMMYFUNCTION("""COMPUTED_VALUE"""),"Гимназия 652")</f>
        <v>Гимназия 652</v>
      </c>
      <c r="E437" s="5"/>
      <c r="F437" s="5"/>
      <c r="G437" s="5"/>
      <c r="H437" s="5"/>
      <c r="I437" s="5"/>
      <c r="J437" s="5"/>
      <c r="K437" s="5"/>
      <c r="L437" s="5"/>
      <c r="M437">
        <f ca="1">IFERROR(__xludf.DUMMYFUNCTION("""COMPUTED_VALUE"""),0)</f>
        <v>0</v>
      </c>
      <c r="N437" s="8"/>
    </row>
    <row r="438" spans="1:14" ht="12.45" hidden="1">
      <c r="A438" t="str">
        <f ca="1">IFERROR(__xludf.DUMMYFUNCTION("""COMPUTED_VALUE"""),"III-3-256")</f>
        <v>III-3-256</v>
      </c>
      <c r="B438" t="str">
        <f ca="1">IFERROR(__xludf.DUMMYFUNCTION("""COMPUTED_VALUE"""),"Кузнецов")</f>
        <v>Кузнецов</v>
      </c>
      <c r="C438" t="str">
        <f ca="1">IFERROR(__xludf.DUMMYFUNCTION("""COMPUTED_VALUE"""),"Владимир")</f>
        <v>Владимир</v>
      </c>
      <c r="D438" t="str">
        <f ca="1">IFERROR(__xludf.DUMMYFUNCTION("""COMPUTED_VALUE"""),"Гимназия Пансион 698")</f>
        <v>Гимназия Пансион 698</v>
      </c>
      <c r="E438" s="5"/>
      <c r="F438" s="5"/>
      <c r="G438" s="5"/>
      <c r="H438" s="5"/>
      <c r="I438" s="5"/>
      <c r="J438" s="5"/>
      <c r="K438" s="5"/>
      <c r="L438" s="5"/>
      <c r="M438">
        <f ca="1">IFERROR(__xludf.DUMMYFUNCTION("""COMPUTED_VALUE"""),0)</f>
        <v>0</v>
      </c>
      <c r="N438" s="8"/>
    </row>
    <row r="439" spans="1:14" ht="12.45" hidden="1">
      <c r="A439" t="str">
        <f ca="1">IFERROR(__xludf.DUMMYFUNCTION("""COMPUTED_VALUE"""),"V-3-341")</f>
        <v>V-3-341</v>
      </c>
      <c r="B439" t="str">
        <f ca="1">IFERROR(__xludf.DUMMYFUNCTION("""COMPUTED_VALUE"""),"Морозова")</f>
        <v>Морозова</v>
      </c>
      <c r="C439" t="str">
        <f ca="1">IFERROR(__xludf.DUMMYFUNCTION("""COMPUTED_VALUE"""),"Анастасия")</f>
        <v>Анастасия</v>
      </c>
      <c r="D439" t="str">
        <f ca="1">IFERROR(__xludf.DUMMYFUNCTION("""COMPUTED_VALUE"""),"Школа 489")</f>
        <v>Школа 489</v>
      </c>
      <c r="E439" s="5"/>
      <c r="F439" s="5"/>
      <c r="G439" s="5"/>
      <c r="H439" s="5"/>
      <c r="I439" s="5"/>
      <c r="J439" s="5"/>
      <c r="K439" s="5"/>
      <c r="L439" s="5"/>
      <c r="M439">
        <f ca="1">IFERROR(__xludf.DUMMYFUNCTION("""COMPUTED_VALUE"""),0)</f>
        <v>0</v>
      </c>
      <c r="N439" s="8"/>
    </row>
    <row r="440" spans="1:14" ht="12.45" hidden="1">
      <c r="A440" t="str">
        <f ca="1">IFERROR(__xludf.DUMMYFUNCTION("""COMPUTED_VALUE"""),"V-3-384")</f>
        <v>V-3-384</v>
      </c>
      <c r="B440" t="str">
        <f ca="1">IFERROR(__xludf.DUMMYFUNCTION("""COMPUTED_VALUE"""),"Оленников")</f>
        <v>Оленников</v>
      </c>
      <c r="C440" t="str">
        <f ca="1">IFERROR(__xludf.DUMMYFUNCTION("""COMPUTED_VALUE"""),"Константин")</f>
        <v>Константин</v>
      </c>
      <c r="D440" t="str">
        <f ca="1">IFERROR(__xludf.DUMMYFUNCTION("""COMPUTED_VALUE"""),"Школа 1")</f>
        <v>Школа 1</v>
      </c>
      <c r="E440" s="5"/>
      <c r="F440" s="5"/>
      <c r="G440" s="5"/>
      <c r="H440" s="5"/>
      <c r="I440" s="5"/>
      <c r="J440" s="5"/>
      <c r="K440" s="5"/>
      <c r="L440" s="5"/>
      <c r="M440">
        <f ca="1">IFERROR(__xludf.DUMMYFUNCTION("""COMPUTED_VALUE"""),0)</f>
        <v>0</v>
      </c>
      <c r="N440" s="8"/>
    </row>
    <row r="441" spans="1:14" ht="12.45" hidden="1">
      <c r="A441" t="str">
        <f ca="1">IFERROR(__xludf.DUMMYFUNCTION("""COMPUTED_VALUE"""),"III-3-131")</f>
        <v>III-3-131</v>
      </c>
      <c r="B441" t="str">
        <f ca="1">IFERROR(__xludf.DUMMYFUNCTION("""COMPUTED_VALUE"""),"Долганова")</f>
        <v>Долганова</v>
      </c>
      <c r="C441" t="str">
        <f ca="1">IFERROR(__xludf.DUMMYFUNCTION("""COMPUTED_VALUE"""),"Полина")</f>
        <v>Полина</v>
      </c>
      <c r="D441" t="str">
        <f ca="1">IFERROR(__xludf.DUMMYFUNCTION("""COMPUTED_VALUE"""),"Лицей 29")</f>
        <v>Лицей 29</v>
      </c>
      <c r="E441" s="5"/>
      <c r="F441" s="5"/>
      <c r="G441" s="5"/>
      <c r="H441" s="5"/>
      <c r="I441" s="5"/>
      <c r="J441" s="5"/>
      <c r="K441" s="5"/>
      <c r="L441" s="5"/>
      <c r="M441">
        <f ca="1">IFERROR(__xludf.DUMMYFUNCTION("""COMPUTED_VALUE"""),0)</f>
        <v>0</v>
      </c>
      <c r="N441" s="8"/>
    </row>
    <row r="442" spans="1:14" ht="12.45" hidden="1">
      <c r="A442" t="str">
        <f ca="1">IFERROR(__xludf.DUMMYFUNCTION("""COMPUTED_VALUE"""),"V-3-333")</f>
        <v>V-3-333</v>
      </c>
      <c r="B442" t="str">
        <f ca="1">IFERROR(__xludf.DUMMYFUNCTION("""COMPUTED_VALUE"""),"Минхузов")</f>
        <v>Минхузов</v>
      </c>
      <c r="C442" t="str">
        <f ca="1">IFERROR(__xludf.DUMMYFUNCTION("""COMPUTED_VALUE"""),"Сабир")</f>
        <v>Сабир</v>
      </c>
      <c r="D442" t="str">
        <f ca="1">IFERROR(__xludf.DUMMYFUNCTION("""COMPUTED_VALUE"""),"Лицей МБОУ ЭМЛи 29")</f>
        <v>Лицей МБОУ ЭМЛи 29</v>
      </c>
      <c r="E442" s="5"/>
      <c r="F442" s="5"/>
      <c r="G442" s="5"/>
      <c r="H442" s="5"/>
      <c r="I442" s="5"/>
      <c r="J442" s="5"/>
      <c r="K442" s="5"/>
      <c r="L442" s="5"/>
      <c r="M442">
        <f ca="1">IFERROR(__xludf.DUMMYFUNCTION("""COMPUTED_VALUE"""),0)</f>
        <v>0</v>
      </c>
      <c r="N442" s="8"/>
    </row>
    <row r="443" spans="1:14" ht="12.45" hidden="1">
      <c r="A443" t="str">
        <f ca="1">IFERROR(__xludf.DUMMYFUNCTION("""COMPUTED_VALUE"""),"V-3-550")</f>
        <v>V-3-550</v>
      </c>
      <c r="B443" t="str">
        <f ca="1">IFERROR(__xludf.DUMMYFUNCTION("""COMPUTED_VALUE"""),"Фуреев")</f>
        <v>Фуреев</v>
      </c>
      <c r="C443" t="str">
        <f ca="1">IFERROR(__xludf.DUMMYFUNCTION("""COMPUTED_VALUE"""),"Роман")</f>
        <v>Роман</v>
      </c>
      <c r="D443" t="str">
        <f ca="1">IFERROR(__xludf.DUMMYFUNCTION("""COMPUTED_VALUE"""),"Лицей ЭМЛи 29")</f>
        <v>Лицей ЭМЛи 29</v>
      </c>
      <c r="E443" s="5"/>
      <c r="F443" s="5"/>
      <c r="G443" s="5"/>
      <c r="H443" s="5"/>
      <c r="I443" s="5"/>
      <c r="J443" s="5"/>
      <c r="K443" s="5"/>
      <c r="L443" s="5"/>
      <c r="M443">
        <f ca="1">IFERROR(__xludf.DUMMYFUNCTION("""COMPUTED_VALUE"""),0)</f>
        <v>0</v>
      </c>
      <c r="N443" s="8"/>
    </row>
    <row r="444" spans="1:14" ht="12.45" hidden="1">
      <c r="A444" t="str">
        <f ca="1">IFERROR(__xludf.DUMMYFUNCTION("""COMPUTED_VALUE"""),"V-3-456")</f>
        <v>V-3-456</v>
      </c>
      <c r="B444" t="str">
        <f ca="1">IFERROR(__xludf.DUMMYFUNCTION("""COMPUTED_VALUE"""),"салихова")</f>
        <v>салихова</v>
      </c>
      <c r="C444" t="str">
        <f ca="1">IFERROR(__xludf.DUMMYFUNCTION("""COMPUTED_VALUE"""),"ульяна")</f>
        <v>ульяна</v>
      </c>
      <c r="D444" t="str">
        <f ca="1">IFERROR(__xludf.DUMMYFUNCTION("""COMPUTED_VALUE"""),"Лицей ЭМЛИ29")</f>
        <v>Лицей ЭМЛИ29</v>
      </c>
      <c r="E444" s="5"/>
      <c r="F444" s="5"/>
      <c r="G444" s="5"/>
      <c r="H444" s="5"/>
      <c r="I444" s="5"/>
      <c r="J444" s="5"/>
      <c r="K444" s="5"/>
      <c r="L444" s="5"/>
      <c r="M444">
        <f ca="1">IFERROR(__xludf.DUMMYFUNCTION("""COMPUTED_VALUE"""),0)</f>
        <v>0</v>
      </c>
      <c r="N444" s="8"/>
    </row>
    <row r="445" spans="1:14" ht="12.45" hidden="1">
      <c r="A445" t="str">
        <f ca="1">IFERROR(__xludf.DUMMYFUNCTION("""COMPUTED_VALUE"""),"III-3-076")</f>
        <v>III-3-076</v>
      </c>
      <c r="B445" t="str">
        <f ca="1">IFERROR(__xludf.DUMMYFUNCTION("""COMPUTED_VALUE"""),"Вахранёв")</f>
        <v>Вахранёв</v>
      </c>
      <c r="C445" t="str">
        <f ca="1">IFERROR(__xludf.DUMMYFUNCTION("""COMPUTED_VALUE"""),"Евгений")</f>
        <v>Евгений</v>
      </c>
      <c r="D445" t="str">
        <f ca="1">IFERROR(__xludf.DUMMYFUNCTION("""COMPUTED_VALUE"""),"Лицей ЭМЛИ 29")</f>
        <v>Лицей ЭМЛИ 29</v>
      </c>
      <c r="E445" s="5"/>
      <c r="F445" s="5"/>
      <c r="G445" s="5"/>
      <c r="H445" s="5"/>
      <c r="I445" s="5"/>
      <c r="J445" s="5"/>
      <c r="K445" s="5"/>
      <c r="L445" s="5"/>
      <c r="M445">
        <f ca="1">IFERROR(__xludf.DUMMYFUNCTION("""COMPUTED_VALUE"""),0)</f>
        <v>0</v>
      </c>
      <c r="N445" s="8"/>
    </row>
    <row r="446" spans="1:14" ht="12.45" hidden="1">
      <c r="A446" t="str">
        <f ca="1">IFERROR(__xludf.DUMMYFUNCTION("""COMPUTED_VALUE"""),"V-3-560")</f>
        <v>V-3-560</v>
      </c>
      <c r="B446" t="str">
        <f ca="1">IFERROR(__xludf.DUMMYFUNCTION("""COMPUTED_VALUE"""),"Хохрина")</f>
        <v>Хохрина</v>
      </c>
      <c r="C446" t="str">
        <f ca="1">IFERROR(__xludf.DUMMYFUNCTION("""COMPUTED_VALUE"""),"Ярослава")</f>
        <v>Ярослава</v>
      </c>
      <c r="D446" t="str">
        <f ca="1">IFERROR(__xludf.DUMMYFUNCTION("""COMPUTED_VALUE"""),"Лицей ЭМЛи")</f>
        <v>Лицей ЭМЛи</v>
      </c>
      <c r="E446" s="5"/>
      <c r="F446" s="5"/>
      <c r="G446" s="5"/>
      <c r="H446" s="5"/>
      <c r="I446" s="5"/>
      <c r="J446" s="5"/>
      <c r="K446" s="5"/>
      <c r="L446" s="5"/>
      <c r="M446">
        <f ca="1">IFERROR(__xludf.DUMMYFUNCTION("""COMPUTED_VALUE"""),0)</f>
        <v>0</v>
      </c>
      <c r="N446" s="8"/>
    </row>
    <row r="447" spans="1:14" ht="12.45" hidden="1">
      <c r="A447" t="str">
        <f ca="1">IFERROR(__xludf.DUMMYFUNCTION("""COMPUTED_VALUE"""),"III-3-150")</f>
        <v>III-3-150</v>
      </c>
      <c r="B447" t="str">
        <f ca="1">IFERROR(__xludf.DUMMYFUNCTION("""COMPUTED_VALUE"""),"Жидкова")</f>
        <v>Жидкова</v>
      </c>
      <c r="C447" t="str">
        <f ca="1">IFERROR(__xludf.DUMMYFUNCTION("""COMPUTED_VALUE"""),"Мария")</f>
        <v>Мария</v>
      </c>
      <c r="D447" t="str">
        <f ca="1">IFERROR(__xludf.DUMMYFUNCTION("""COMPUTED_VALUE"""),"Лицей 29")</f>
        <v>Лицей 29</v>
      </c>
      <c r="E447" s="5"/>
      <c r="F447" s="5"/>
      <c r="G447" s="5"/>
      <c r="H447" s="5"/>
      <c r="I447" s="5"/>
      <c r="J447" s="5"/>
      <c r="K447" s="5"/>
      <c r="L447" s="5"/>
      <c r="M447">
        <f ca="1">IFERROR(__xludf.DUMMYFUNCTION("""COMPUTED_VALUE"""),0)</f>
        <v>0</v>
      </c>
      <c r="N447" s="8"/>
    </row>
    <row r="448" spans="1:14" ht="12.45" hidden="1">
      <c r="A448" t="str">
        <f ca="1">IFERROR(__xludf.DUMMYFUNCTION("""COMPUTED_VALUE"""),"III-3-111")</f>
        <v>III-3-111</v>
      </c>
      <c r="B448" t="str">
        <f ca="1">IFERROR(__xludf.DUMMYFUNCTION("""COMPUTED_VALUE"""),"Гордиенко")</f>
        <v>Гордиенко</v>
      </c>
      <c r="C448" t="str">
        <f ca="1">IFERROR(__xludf.DUMMYFUNCTION("""COMPUTED_VALUE"""),"Егор")</f>
        <v>Егор</v>
      </c>
      <c r="D448" t="str">
        <f ca="1">IFERROR(__xludf.DUMMYFUNCTION("""COMPUTED_VALUE"""),"Школа 31")</f>
        <v>Школа 31</v>
      </c>
      <c r="E448" s="5"/>
      <c r="F448" s="5"/>
      <c r="G448" s="5"/>
      <c r="H448" s="5"/>
      <c r="I448" s="5"/>
      <c r="J448" s="5"/>
      <c r="K448" s="5"/>
      <c r="L448" s="5"/>
      <c r="M448">
        <f ca="1">IFERROR(__xludf.DUMMYFUNCTION("""COMPUTED_VALUE"""),0)</f>
        <v>0</v>
      </c>
      <c r="N448" s="8"/>
    </row>
    <row r="449" spans="1:14" ht="12.45" hidden="1">
      <c r="A449" t="str">
        <f ca="1">IFERROR(__xludf.DUMMYFUNCTION("""COMPUTED_VALUE"""),"V-3-348")</f>
        <v>V-3-348</v>
      </c>
      <c r="B449" t="str">
        <f ca="1">IFERROR(__xludf.DUMMYFUNCTION("""COMPUTED_VALUE"""),"Мурашева")</f>
        <v>Мурашева</v>
      </c>
      <c r="C449" t="str">
        <f ca="1">IFERROR(__xludf.DUMMYFUNCTION("""COMPUTED_VALUE"""),"Дарья")</f>
        <v>Дарья</v>
      </c>
      <c r="D449" t="str">
        <f ca="1">IFERROR(__xludf.DUMMYFUNCTION("""COMPUTED_VALUE"""),"Гимназия 11")</f>
        <v>Гимназия 11</v>
      </c>
      <c r="E449" s="5"/>
      <c r="F449" s="5"/>
      <c r="G449" s="5"/>
      <c r="H449" s="5"/>
      <c r="I449" s="5"/>
      <c r="J449" s="5"/>
      <c r="K449" s="5"/>
      <c r="L449" s="5"/>
      <c r="M449">
        <f ca="1">IFERROR(__xludf.DUMMYFUNCTION("""COMPUTED_VALUE"""),0)</f>
        <v>0</v>
      </c>
      <c r="N449" s="8"/>
    </row>
    <row r="450" spans="1:14" ht="12.45" hidden="1">
      <c r="A450" t="str">
        <f ca="1">IFERROR(__xludf.DUMMYFUNCTION("""COMPUTED_VALUE"""),"III-3-121")</f>
        <v>III-3-121</v>
      </c>
      <c r="B450" t="str">
        <f ca="1">IFERROR(__xludf.DUMMYFUNCTION("""COMPUTED_VALUE"""),"Гусев")</f>
        <v>Гусев</v>
      </c>
      <c r="C450" t="str">
        <f ca="1">IFERROR(__xludf.DUMMYFUNCTION("""COMPUTED_VALUE"""),"Максим")</f>
        <v>Максим</v>
      </c>
      <c r="D450" t="str">
        <f ca="1">IFERROR(__xludf.DUMMYFUNCTION("""COMPUTED_VALUE"""),"Лицей 369")</f>
        <v>Лицей 369</v>
      </c>
      <c r="E450" s="5"/>
      <c r="F450" s="5"/>
      <c r="G450" s="5"/>
      <c r="H450" s="5"/>
      <c r="I450" s="5"/>
      <c r="J450" s="5"/>
      <c r="K450" s="5"/>
      <c r="L450" s="5"/>
      <c r="M450">
        <f ca="1">IFERROR(__xludf.DUMMYFUNCTION("""COMPUTED_VALUE"""),0)</f>
        <v>0</v>
      </c>
      <c r="N450" s="8"/>
    </row>
    <row r="451" spans="1:14" ht="12.45" hidden="1">
      <c r="A451" t="str">
        <f ca="1">IFERROR(__xludf.DUMMYFUNCTION("""COMPUTED_VALUE"""),"V-3-429")</f>
        <v>V-3-429</v>
      </c>
      <c r="B451" t="str">
        <f ca="1">IFERROR(__xludf.DUMMYFUNCTION("""COMPUTED_VALUE"""),"Пудовкин")</f>
        <v>Пудовкин</v>
      </c>
      <c r="C451" t="str">
        <f ca="1">IFERROR(__xludf.DUMMYFUNCTION("""COMPUTED_VALUE"""),"Алексей")</f>
        <v>Алексей</v>
      </c>
      <c r="D451" t="str">
        <f ca="1">IFERROR(__xludf.DUMMYFUNCTION("""COMPUTED_VALUE"""),"Лицей 387")</f>
        <v>Лицей 387</v>
      </c>
      <c r="E451" s="5"/>
      <c r="F451" s="5"/>
      <c r="G451" s="5"/>
      <c r="H451" s="5"/>
      <c r="I451" s="5"/>
      <c r="J451" s="5"/>
      <c r="K451" s="5"/>
      <c r="L451" s="5"/>
      <c r="M451">
        <f ca="1">IFERROR(__xludf.DUMMYFUNCTION("""COMPUTED_VALUE"""),0)</f>
        <v>0</v>
      </c>
      <c r="N451" s="8"/>
    </row>
    <row r="452" spans="1:14" ht="12.45" hidden="1">
      <c r="A452" t="str">
        <f ca="1">IFERROR(__xludf.DUMMYFUNCTION("""COMPUTED_VALUE"""),"III-3-225")</f>
        <v>III-3-225</v>
      </c>
      <c r="B452" t="str">
        <f ca="1">IFERROR(__xludf.DUMMYFUNCTION("""COMPUTED_VALUE"""),"Колобов")</f>
        <v>Колобов</v>
      </c>
      <c r="C452" t="str">
        <f ca="1">IFERROR(__xludf.DUMMYFUNCTION("""COMPUTED_VALUE"""),"Михаил")</f>
        <v>Михаил</v>
      </c>
      <c r="D452" t="str">
        <f ca="1">IFERROR(__xludf.DUMMYFUNCTION("""COMPUTED_VALUE"""),"Школа 246")</f>
        <v>Школа 246</v>
      </c>
      <c r="E452" s="5"/>
      <c r="F452" s="5"/>
      <c r="G452" s="5"/>
      <c r="H452" s="5"/>
      <c r="I452" s="5"/>
      <c r="J452" s="5"/>
      <c r="K452" s="5"/>
      <c r="L452" s="5"/>
      <c r="M452">
        <f ca="1">IFERROR(__xludf.DUMMYFUNCTION("""COMPUTED_VALUE"""),0)</f>
        <v>0</v>
      </c>
      <c r="N452" s="8"/>
    </row>
    <row r="453" spans="1:14" ht="12.45" hidden="1">
      <c r="A453" t="str">
        <f ca="1">IFERROR(__xludf.DUMMYFUNCTION("""COMPUTED_VALUE"""),"V-3-444")</f>
        <v>V-3-444</v>
      </c>
      <c r="B453" t="str">
        <f ca="1">IFERROR(__xludf.DUMMYFUNCTION("""COMPUTED_VALUE"""),"Росляков")</f>
        <v>Росляков</v>
      </c>
      <c r="C453" t="str">
        <f ca="1">IFERROR(__xludf.DUMMYFUNCTION("""COMPUTED_VALUE"""),"Илья")</f>
        <v>Илья</v>
      </c>
      <c r="D453" t="str">
        <f ca="1">IFERROR(__xludf.DUMMYFUNCTION("""COMPUTED_VALUE"""),"Школа 320")</f>
        <v>Школа 320</v>
      </c>
      <c r="E453" s="5"/>
      <c r="F453" s="5"/>
      <c r="G453" s="5"/>
      <c r="H453" s="5"/>
      <c r="I453" s="5"/>
      <c r="J453" s="5"/>
      <c r="K453" s="5"/>
      <c r="L453" s="5"/>
      <c r="M453">
        <f ca="1">IFERROR(__xludf.DUMMYFUNCTION("""COMPUTED_VALUE"""),0)</f>
        <v>0</v>
      </c>
      <c r="N453" s="8"/>
    </row>
    <row r="454" spans="1:14" ht="12.45" hidden="1">
      <c r="A454" t="str">
        <f ca="1">IFERROR(__xludf.DUMMYFUNCTION("""COMPUTED_VALUE"""),"III-3-095")</f>
        <v>III-3-095</v>
      </c>
      <c r="B454" t="str">
        <f ca="1">IFERROR(__xludf.DUMMYFUNCTION("""COMPUTED_VALUE"""),"Гапон")</f>
        <v>Гапон</v>
      </c>
      <c r="C454" t="str">
        <f ca="1">IFERROR(__xludf.DUMMYFUNCTION("""COMPUTED_VALUE"""),"Михаил")</f>
        <v>Михаил</v>
      </c>
      <c r="D454" t="str">
        <f ca="1">IFERROR(__xludf.DUMMYFUNCTION("""COMPUTED_VALUE"""),"Школа 606")</f>
        <v>Школа 606</v>
      </c>
      <c r="E454" s="5"/>
      <c r="F454" s="5"/>
      <c r="G454" s="5"/>
      <c r="H454" s="5"/>
      <c r="I454" s="5"/>
      <c r="J454" s="5"/>
      <c r="K454" s="5"/>
      <c r="L454" s="5"/>
      <c r="M454">
        <f ca="1">IFERROR(__xludf.DUMMYFUNCTION("""COMPUTED_VALUE"""),0)</f>
        <v>0</v>
      </c>
      <c r="N454" s="8"/>
    </row>
    <row r="455" spans="1:14" ht="12.45" hidden="1">
      <c r="A455" t="str">
        <f ca="1">IFERROR(__xludf.DUMMYFUNCTION("""COMPUTED_VALUE"""),"V-3-567")</f>
        <v>V-3-567</v>
      </c>
      <c r="B455" t="str">
        <f ca="1">IFERROR(__xludf.DUMMYFUNCTION("""COMPUTED_VALUE"""),"Черникова")</f>
        <v>Черникова</v>
      </c>
      <c r="C455" t="str">
        <f ca="1">IFERROR(__xludf.DUMMYFUNCTION("""COMPUTED_VALUE"""),"Ольга")</f>
        <v>Ольга</v>
      </c>
      <c r="D455" t="str">
        <f ca="1">IFERROR(__xludf.DUMMYFUNCTION("""COMPUTED_VALUE"""),"Школа 606")</f>
        <v>Школа 606</v>
      </c>
      <c r="E455" s="5"/>
      <c r="F455" s="5"/>
      <c r="G455" s="5"/>
      <c r="H455" s="5"/>
      <c r="I455" s="5"/>
      <c r="J455" s="5"/>
      <c r="K455" s="5"/>
      <c r="L455" s="5"/>
      <c r="M455">
        <f ca="1">IFERROR(__xludf.DUMMYFUNCTION("""COMPUTED_VALUE"""),0)</f>
        <v>0</v>
      </c>
      <c r="N455" s="8"/>
    </row>
    <row r="456" spans="1:14" ht="12.45" hidden="1">
      <c r="A456" t="str">
        <f ca="1">IFERROR(__xludf.DUMMYFUNCTION("""COMPUTED_VALUE"""),"III-3-037")</f>
        <v>III-3-037</v>
      </c>
      <c r="B456" t="str">
        <f ca="1">IFERROR(__xludf.DUMMYFUNCTION("""COMPUTED_VALUE"""),"Бачурова")</f>
        <v>Бачурова</v>
      </c>
      <c r="C456" t="str">
        <f ca="1">IFERROR(__xludf.DUMMYFUNCTION("""COMPUTED_VALUE"""),"Дарья")</f>
        <v>Дарья</v>
      </c>
      <c r="D456" t="str">
        <f ca="1">IFERROR(__xludf.DUMMYFUNCTION("""COMPUTED_VALUE"""),"Школа 300")</f>
        <v>Школа 300</v>
      </c>
      <c r="E456" s="5"/>
      <c r="F456" s="5"/>
      <c r="G456" s="5"/>
      <c r="H456" s="5"/>
      <c r="I456" s="5"/>
      <c r="J456" s="5"/>
      <c r="K456" s="5"/>
      <c r="L456" s="5"/>
      <c r="M456">
        <f ca="1">IFERROR(__xludf.DUMMYFUNCTION("""COMPUTED_VALUE"""),0)</f>
        <v>0</v>
      </c>
      <c r="N456" s="8"/>
    </row>
    <row r="457" spans="1:14" ht="12.45" hidden="1">
      <c r="A457" t="str">
        <f ca="1">IFERROR(__xludf.DUMMYFUNCTION("""COMPUTED_VALUE"""),"V-3-408")</f>
        <v>V-3-408</v>
      </c>
      <c r="B457" t="str">
        <f ca="1">IFERROR(__xludf.DUMMYFUNCTION("""COMPUTED_VALUE"""),"Петренко")</f>
        <v>Петренко</v>
      </c>
      <c r="C457" t="str">
        <f ca="1">IFERROR(__xludf.DUMMYFUNCTION("""COMPUTED_VALUE"""),"Егор")</f>
        <v>Егор</v>
      </c>
      <c r="D457" t="str">
        <f ca="1">IFERROR(__xludf.DUMMYFUNCTION("""COMPUTED_VALUE"""),"Школа 300")</f>
        <v>Школа 300</v>
      </c>
      <c r="E457" s="5"/>
      <c r="F457" s="5"/>
      <c r="G457" s="5"/>
      <c r="H457" s="5"/>
      <c r="I457" s="5"/>
      <c r="J457" s="5"/>
      <c r="K457" s="5"/>
      <c r="L457" s="5"/>
      <c r="M457">
        <f ca="1">IFERROR(__xludf.DUMMYFUNCTION("""COMPUTED_VALUE"""),0)</f>
        <v>0</v>
      </c>
      <c r="N457" s="8"/>
    </row>
    <row r="458" spans="1:14" ht="12.45" hidden="1">
      <c r="A458" t="str">
        <f ca="1">IFERROR(__xludf.DUMMYFUNCTION("""COMPUTED_VALUE"""),"III-3-088")</f>
        <v>III-3-088</v>
      </c>
      <c r="B458" t="str">
        <f ca="1">IFERROR(__xludf.DUMMYFUNCTION("""COMPUTED_VALUE"""),"Волкова")</f>
        <v>Волкова</v>
      </c>
      <c r="C458" t="str">
        <f ca="1">IFERROR(__xludf.DUMMYFUNCTION("""COMPUTED_VALUE"""),"Екатерина")</f>
        <v>Екатерина</v>
      </c>
      <c r="D458" t="str">
        <f ca="1">IFERROR(__xludf.DUMMYFUNCTION("""COMPUTED_VALUE"""),"Гимназия 642")</f>
        <v>Гимназия 642</v>
      </c>
      <c r="E458" s="5"/>
      <c r="F458" s="5"/>
      <c r="G458" s="5"/>
      <c r="H458" s="5"/>
      <c r="I458" s="5"/>
      <c r="J458" s="5"/>
      <c r="K458" s="5"/>
      <c r="L458" s="5"/>
      <c r="M458">
        <f ca="1">IFERROR(__xludf.DUMMYFUNCTION("""COMPUTED_VALUE"""),0)</f>
        <v>0</v>
      </c>
      <c r="N458" s="8"/>
    </row>
    <row r="459" spans="1:14" ht="12.45" hidden="1">
      <c r="A459" t="str">
        <f ca="1">IFERROR(__xludf.DUMMYFUNCTION("""COMPUTED_VALUE"""),"V-3-547")</f>
        <v>V-3-547</v>
      </c>
      <c r="B459" t="str">
        <f ca="1">IFERROR(__xludf.DUMMYFUNCTION("""COMPUTED_VALUE"""),"Фоканов")</f>
        <v>Фоканов</v>
      </c>
      <c r="C459" t="str">
        <f ca="1">IFERROR(__xludf.DUMMYFUNCTION("""COMPUTED_VALUE"""),"Даниил")</f>
        <v>Даниил</v>
      </c>
      <c r="D459" t="str">
        <f ca="1">IFERROR(__xludf.DUMMYFUNCTION("""COMPUTED_VALUE"""),"Школа 556")</f>
        <v>Школа 556</v>
      </c>
      <c r="E459" s="5"/>
      <c r="F459" s="5"/>
      <c r="G459" s="5"/>
      <c r="H459" s="5"/>
      <c r="I459" s="5"/>
      <c r="J459" s="5"/>
      <c r="K459" s="5"/>
      <c r="L459" s="5"/>
      <c r="M459">
        <f ca="1">IFERROR(__xludf.DUMMYFUNCTION("""COMPUTED_VALUE"""),0)</f>
        <v>0</v>
      </c>
      <c r="N459" s="8"/>
    </row>
    <row r="460" spans="1:14" ht="12.45" hidden="1">
      <c r="A460" t="str">
        <f ca="1">IFERROR(__xludf.DUMMYFUNCTION("""COMPUTED_VALUE"""),"III-3-176")</f>
        <v>III-3-176</v>
      </c>
      <c r="B460" t="str">
        <f ca="1">IFERROR(__xludf.DUMMYFUNCTION("""COMPUTED_VALUE"""),"Иванова")</f>
        <v>Иванова</v>
      </c>
      <c r="C460" t="str">
        <f ca="1">IFERROR(__xludf.DUMMYFUNCTION("""COMPUTED_VALUE"""),"Александра")</f>
        <v>Александра</v>
      </c>
      <c r="D460" t="str">
        <f ca="1">IFERROR(__xludf.DUMMYFUNCTION("""COMPUTED_VALUE"""),"Гимназия 642")</f>
        <v>Гимназия 642</v>
      </c>
      <c r="E460" s="5"/>
      <c r="F460" s="5"/>
      <c r="G460" s="5"/>
      <c r="H460" s="5"/>
      <c r="I460" s="5"/>
      <c r="J460" s="5"/>
      <c r="K460" s="5"/>
      <c r="L460" s="5"/>
      <c r="M460">
        <f ca="1">IFERROR(__xludf.DUMMYFUNCTION("""COMPUTED_VALUE"""),0)</f>
        <v>0</v>
      </c>
      <c r="N460" s="8"/>
    </row>
    <row r="461" spans="1:14" ht="12.45" hidden="1">
      <c r="A461" t="str">
        <f ca="1">IFERROR(__xludf.DUMMYFUNCTION("""COMPUTED_VALUE"""),"III-3-274")</f>
        <v>III-3-274</v>
      </c>
      <c r="B461" t="str">
        <f ca="1">IFERROR(__xludf.DUMMYFUNCTION("""COMPUTED_VALUE"""),"Лабодин")</f>
        <v>Лабодин</v>
      </c>
      <c r="C461" t="str">
        <f ca="1">IFERROR(__xludf.DUMMYFUNCTION("""COMPUTED_VALUE"""),"Кирилл")</f>
        <v>Кирилл</v>
      </c>
      <c r="D461" t="str">
        <f ca="1">IFERROR(__xludf.DUMMYFUNCTION("""COMPUTED_VALUE"""),"Гимназия 642")</f>
        <v>Гимназия 642</v>
      </c>
      <c r="E461" s="5"/>
      <c r="F461" s="5"/>
      <c r="G461" s="5"/>
      <c r="H461" s="5"/>
      <c r="I461" s="5"/>
      <c r="J461" s="5"/>
      <c r="K461" s="5"/>
      <c r="L461" s="5"/>
      <c r="M461">
        <f ca="1">IFERROR(__xludf.DUMMYFUNCTION("""COMPUTED_VALUE"""),0)</f>
        <v>0</v>
      </c>
      <c r="N461" s="8"/>
    </row>
    <row r="462" spans="1:14" ht="12.45" hidden="1">
      <c r="A462" t="str">
        <f ca="1">IFERROR(__xludf.DUMMYFUNCTION("""COMPUTED_VALUE"""),"V-3-361")</f>
        <v>V-3-361</v>
      </c>
      <c r="B462" t="str">
        <f ca="1">IFERROR(__xludf.DUMMYFUNCTION("""COMPUTED_VALUE"""),"Неминущий")</f>
        <v>Неминущий</v>
      </c>
      <c r="C462" t="str">
        <f ca="1">IFERROR(__xludf.DUMMYFUNCTION("""COMPUTED_VALUE"""),"Александр")</f>
        <v>Александр</v>
      </c>
      <c r="D462" t="str">
        <f ca="1">IFERROR(__xludf.DUMMYFUNCTION("""COMPUTED_VALUE"""),"Школа 207")</f>
        <v>Школа 207</v>
      </c>
      <c r="E462" s="5"/>
      <c r="F462" s="5"/>
      <c r="G462" s="5"/>
      <c r="H462" s="5"/>
      <c r="I462" s="5"/>
      <c r="J462" s="5"/>
      <c r="K462" s="5"/>
      <c r="L462" s="5"/>
      <c r="M462">
        <f ca="1">IFERROR(__xludf.DUMMYFUNCTION("""COMPUTED_VALUE"""),0)</f>
        <v>0</v>
      </c>
      <c r="N462" s="8"/>
    </row>
    <row r="463" spans="1:14" ht="12.45" hidden="1">
      <c r="A463" t="str">
        <f ca="1">IFERROR(__xludf.DUMMYFUNCTION("""COMPUTED_VALUE"""),"V-3-414")</f>
        <v>V-3-414</v>
      </c>
      <c r="B463" t="str">
        <f ca="1">IFERROR(__xludf.DUMMYFUNCTION("""COMPUTED_VALUE"""),"Покровов")</f>
        <v>Покровов</v>
      </c>
      <c r="C463" t="str">
        <f ca="1">IFERROR(__xludf.DUMMYFUNCTION("""COMPUTED_VALUE"""),"Владислав")</f>
        <v>Владислав</v>
      </c>
      <c r="D463" t="str">
        <f ca="1">IFERROR(__xludf.DUMMYFUNCTION("""COMPUTED_VALUE"""),"Гимназия 2")</f>
        <v>Гимназия 2</v>
      </c>
      <c r="E463" s="5"/>
      <c r="F463" s="5"/>
      <c r="G463" s="5"/>
      <c r="H463" s="5"/>
      <c r="I463" s="5"/>
      <c r="J463" s="5"/>
      <c r="K463" s="5"/>
      <c r="L463" s="5"/>
      <c r="M463">
        <f ca="1">IFERROR(__xludf.DUMMYFUNCTION("""COMPUTED_VALUE"""),0)</f>
        <v>0</v>
      </c>
      <c r="N463" s="8"/>
    </row>
    <row r="464" spans="1:14" ht="12.45" hidden="1">
      <c r="A464" t="str">
        <f ca="1">IFERROR(__xludf.DUMMYFUNCTION("""COMPUTED_VALUE"""),"III-3-236")</f>
        <v>III-3-236</v>
      </c>
      <c r="B464" t="str">
        <f ca="1">IFERROR(__xludf.DUMMYFUNCTION("""COMPUTED_VALUE"""),"Косарева")</f>
        <v>Косарева</v>
      </c>
      <c r="C464" t="str">
        <f ca="1">IFERROR(__xludf.DUMMYFUNCTION("""COMPUTED_VALUE"""),"Анастасия")</f>
        <v>Анастасия</v>
      </c>
      <c r="D464" t="str">
        <f ca="1">IFERROR(__xludf.DUMMYFUNCTION("""COMPUTED_VALUE"""),"Гимназия 56")</f>
        <v>Гимназия 56</v>
      </c>
      <c r="E464" s="5"/>
      <c r="F464" s="5"/>
      <c r="G464" s="5"/>
      <c r="H464" s="5"/>
      <c r="I464" s="5"/>
      <c r="J464" s="5"/>
      <c r="K464" s="5"/>
      <c r="L464" s="5"/>
      <c r="M464">
        <f ca="1">IFERROR(__xludf.DUMMYFUNCTION("""COMPUTED_VALUE"""),0)</f>
        <v>0</v>
      </c>
      <c r="N464" s="8"/>
    </row>
    <row r="465" spans="1:14" ht="12.45" hidden="1">
      <c r="A465" t="str">
        <f ca="1">IFERROR(__xludf.DUMMYFUNCTION("""COMPUTED_VALUE"""),"III-3-112")</f>
        <v>III-3-112</v>
      </c>
      <c r="B465" t="str">
        <f ca="1">IFERROR(__xludf.DUMMYFUNCTION("""COMPUTED_VALUE"""),"Грановский")</f>
        <v>Грановский</v>
      </c>
      <c r="C465" t="str">
        <f ca="1">IFERROR(__xludf.DUMMYFUNCTION("""COMPUTED_VALUE"""),"Федор")</f>
        <v>Федор</v>
      </c>
      <c r="D465" t="str">
        <f ca="1">IFERROR(__xludf.DUMMYFUNCTION("""COMPUTED_VALUE"""),"Гимназия 56")</f>
        <v>Гимназия 56</v>
      </c>
      <c r="E465" s="5"/>
      <c r="F465" s="5"/>
      <c r="G465" s="5"/>
      <c r="H465" s="5"/>
      <c r="I465" s="5"/>
      <c r="J465" s="5"/>
      <c r="K465" s="5"/>
      <c r="L465" s="5"/>
      <c r="M465">
        <f ca="1">IFERROR(__xludf.DUMMYFUNCTION("""COMPUTED_VALUE"""),0)</f>
        <v>0</v>
      </c>
      <c r="N465" s="8"/>
    </row>
    <row r="466" spans="1:14" ht="12.45" hidden="1">
      <c r="A466" t="str">
        <f ca="1">IFERROR(__xludf.DUMMYFUNCTION("""COMPUTED_VALUE"""),"V-3-486")</f>
        <v>V-3-486</v>
      </c>
      <c r="B466" t="str">
        <f ca="1">IFERROR(__xludf.DUMMYFUNCTION("""COMPUTED_VALUE"""),"Смирнов")</f>
        <v>Смирнов</v>
      </c>
      <c r="C466" t="str">
        <f ca="1">IFERROR(__xludf.DUMMYFUNCTION("""COMPUTED_VALUE"""),"Иван")</f>
        <v>Иван</v>
      </c>
      <c r="D466" t="str">
        <f ca="1">IFERROR(__xludf.DUMMYFUNCTION("""COMPUTED_VALUE"""),"Школа ""Праздник+""")</f>
        <v>Школа "Праздник+"</v>
      </c>
      <c r="E466" s="5"/>
      <c r="F466" s="5"/>
      <c r="G466" s="5"/>
      <c r="H466" s="5"/>
      <c r="I466" s="5"/>
      <c r="J466" s="5"/>
      <c r="K466" s="5"/>
      <c r="L466" s="5"/>
      <c r="M466">
        <f ca="1">IFERROR(__xludf.DUMMYFUNCTION("""COMPUTED_VALUE"""),0)</f>
        <v>0</v>
      </c>
      <c r="N466" s="8"/>
    </row>
    <row r="467" spans="1:14" ht="12.45" hidden="1">
      <c r="A467" t="str">
        <f ca="1">IFERROR(__xludf.DUMMYFUNCTION("""COMPUTED_VALUE"""),"V-3-588")</f>
        <v>V-3-588</v>
      </c>
      <c r="B467" t="str">
        <f ca="1">IFERROR(__xludf.DUMMYFUNCTION("""COMPUTED_VALUE"""),"Щербакова")</f>
        <v>Щербакова</v>
      </c>
      <c r="C467" t="str">
        <f ca="1">IFERROR(__xludf.DUMMYFUNCTION("""COMPUTED_VALUE"""),"Дарья")</f>
        <v>Дарья</v>
      </c>
      <c r="D467" t="str">
        <f ca="1">IFERROR(__xludf.DUMMYFUNCTION("""COMPUTED_VALUE"""),"Школа 358")</f>
        <v>Школа 358</v>
      </c>
      <c r="E467" s="5"/>
      <c r="F467" s="5"/>
      <c r="G467" s="5"/>
      <c r="H467" s="5"/>
      <c r="I467" s="5"/>
      <c r="J467" s="5"/>
      <c r="K467" s="5"/>
      <c r="L467" s="5"/>
      <c r="M467">
        <f ca="1">IFERROR(__xludf.DUMMYFUNCTION("""COMPUTED_VALUE"""),0)</f>
        <v>0</v>
      </c>
      <c r="N467" s="8"/>
    </row>
    <row r="468" spans="1:14" ht="12.45" hidden="1">
      <c r="A468" t="str">
        <f ca="1">IFERROR(__xludf.DUMMYFUNCTION("""COMPUTED_VALUE"""),"III-3-292")</f>
        <v>III-3-292</v>
      </c>
      <c r="B468" t="str">
        <f ca="1">IFERROR(__xludf.DUMMYFUNCTION("""COMPUTED_VALUE"""),"Литвинов")</f>
        <v>Литвинов</v>
      </c>
      <c r="C468" t="str">
        <f ca="1">IFERROR(__xludf.DUMMYFUNCTION("""COMPUTED_VALUE"""),"Иван")</f>
        <v>Иван</v>
      </c>
      <c r="D468" t="str">
        <f ca="1">IFERROR(__xludf.DUMMYFUNCTION("""COMPUTED_VALUE"""),"Лицей 9")</f>
        <v>Лицей 9</v>
      </c>
      <c r="E468" s="5"/>
      <c r="F468" s="5"/>
      <c r="G468" s="5"/>
      <c r="H468" s="5"/>
      <c r="I468" s="5"/>
      <c r="J468" s="5"/>
      <c r="K468" s="5"/>
      <c r="L468" s="5"/>
      <c r="M468">
        <f ca="1">IFERROR(__xludf.DUMMYFUNCTION("""COMPUTED_VALUE"""),0)</f>
        <v>0</v>
      </c>
      <c r="N468" s="8"/>
    </row>
    <row r="469" spans="1:14" ht="12.45" hidden="1">
      <c r="A469" t="str">
        <f ca="1">IFERROR(__xludf.DUMMYFUNCTION("""COMPUTED_VALUE"""),"III-3-139")</f>
        <v>III-3-139</v>
      </c>
      <c r="B469" t="str">
        <f ca="1">IFERROR(__xludf.DUMMYFUNCTION("""COMPUTED_VALUE"""),"Евстафьев")</f>
        <v>Евстафьев</v>
      </c>
      <c r="C469" t="str">
        <f ca="1">IFERROR(__xludf.DUMMYFUNCTION("""COMPUTED_VALUE"""),"Даниил")</f>
        <v>Даниил</v>
      </c>
      <c r="D469" t="str">
        <f ca="1">IFERROR(__xludf.DUMMYFUNCTION("""COMPUTED_VALUE"""),"Лицей 9 г. Белгород")</f>
        <v>Лицей 9 г. Белгород</v>
      </c>
      <c r="E469" s="5"/>
      <c r="F469" s="5"/>
      <c r="G469" s="5"/>
      <c r="H469" s="5"/>
      <c r="I469" s="5"/>
      <c r="J469" s="5"/>
      <c r="K469" s="5"/>
      <c r="L469" s="5"/>
      <c r="M469">
        <f ca="1">IFERROR(__xludf.DUMMYFUNCTION("""COMPUTED_VALUE"""),0)</f>
        <v>0</v>
      </c>
      <c r="N469" s="8"/>
    </row>
    <row r="470" spans="1:14" ht="12.45" hidden="1">
      <c r="A470" t="str">
        <f ca="1">IFERROR(__xludf.DUMMYFUNCTION("""COMPUTED_VALUE"""),"V-3-590")</f>
        <v>V-3-590</v>
      </c>
      <c r="B470" t="str">
        <f ca="1">IFERROR(__xludf.DUMMYFUNCTION("""COMPUTED_VALUE"""),"Юдин")</f>
        <v>Юдин</v>
      </c>
      <c r="C470" t="str">
        <f ca="1">IFERROR(__xludf.DUMMYFUNCTION("""COMPUTED_VALUE"""),"Андрей")</f>
        <v>Андрей</v>
      </c>
      <c r="D470" t="str">
        <f ca="1">IFERROR(__xludf.DUMMYFUNCTION("""COMPUTED_VALUE"""),"Лицей 9")</f>
        <v>Лицей 9</v>
      </c>
      <c r="E470" s="5"/>
      <c r="F470" s="5"/>
      <c r="G470" s="5"/>
      <c r="H470" s="5"/>
      <c r="I470" s="5"/>
      <c r="J470" s="5"/>
      <c r="K470" s="5"/>
      <c r="L470" s="5"/>
      <c r="M470">
        <f ca="1">IFERROR(__xludf.DUMMYFUNCTION("""COMPUTED_VALUE"""),0)</f>
        <v>0</v>
      </c>
      <c r="N470" s="8"/>
    </row>
    <row r="471" spans="1:14" ht="12.45" hidden="1">
      <c r="A471" t="str">
        <f ca="1">IFERROR(__xludf.DUMMYFUNCTION("""COMPUTED_VALUE"""),"V-3-465")</f>
        <v>V-3-465</v>
      </c>
      <c r="B471" t="str">
        <f ca="1">IFERROR(__xludf.DUMMYFUNCTION("""COMPUTED_VALUE"""),"Сафонов")</f>
        <v>Сафонов</v>
      </c>
      <c r="C471" t="str">
        <f ca="1">IFERROR(__xludf.DUMMYFUNCTION("""COMPUTED_VALUE"""),"Данила")</f>
        <v>Данила</v>
      </c>
      <c r="D471" t="str">
        <f ca="1">IFERROR(__xludf.DUMMYFUNCTION("""COMPUTED_VALUE"""),"Лицей 9")</f>
        <v>Лицей 9</v>
      </c>
      <c r="E471" s="5"/>
      <c r="F471" s="5"/>
      <c r="G471" s="5"/>
      <c r="H471" s="5"/>
      <c r="I471" s="5"/>
      <c r="J471" s="5"/>
      <c r="K471" s="5"/>
      <c r="L471" s="5"/>
      <c r="M471">
        <f ca="1">IFERROR(__xludf.DUMMYFUNCTION("""COMPUTED_VALUE"""),0)</f>
        <v>0</v>
      </c>
      <c r="N471" s="8"/>
    </row>
    <row r="472" spans="1:14" ht="12.45" hidden="1">
      <c r="A472" t="str">
        <f ca="1">IFERROR(__xludf.DUMMYFUNCTION("""COMPUTED_VALUE"""),"V-3-565")</f>
        <v>V-3-565</v>
      </c>
      <c r="B472" t="str">
        <f ca="1">IFERROR(__xludf.DUMMYFUNCTION("""COMPUTED_VALUE"""),"Черменев")</f>
        <v>Черменев</v>
      </c>
      <c r="C472" t="str">
        <f ca="1">IFERROR(__xludf.DUMMYFUNCTION("""COMPUTED_VALUE"""),"Илья")</f>
        <v>Илья</v>
      </c>
      <c r="D472" t="str">
        <f ca="1">IFERROR(__xludf.DUMMYFUNCTION("""COMPUTED_VALUE"""),"Лицей Лицей 9")</f>
        <v>Лицей Лицей 9</v>
      </c>
      <c r="E472" s="5"/>
      <c r="F472" s="5"/>
      <c r="G472" s="5"/>
      <c r="H472" s="5"/>
      <c r="I472" s="5"/>
      <c r="J472" s="5"/>
      <c r="K472" s="5"/>
      <c r="L472" s="5"/>
      <c r="M472">
        <f ca="1">IFERROR(__xludf.DUMMYFUNCTION("""COMPUTED_VALUE"""),0)</f>
        <v>0</v>
      </c>
      <c r="N472" s="8"/>
    </row>
    <row r="473" spans="1:14" ht="12.45" hidden="1">
      <c r="A473" t="str">
        <f ca="1">IFERROR(__xludf.DUMMYFUNCTION("""COMPUTED_VALUE"""),"V-3-569")</f>
        <v>V-3-569</v>
      </c>
      <c r="B473" t="str">
        <f ca="1">IFERROR(__xludf.DUMMYFUNCTION("""COMPUTED_VALUE"""),"Чистяков")</f>
        <v>Чистяков</v>
      </c>
      <c r="C473" t="str">
        <f ca="1">IFERROR(__xludf.DUMMYFUNCTION("""COMPUTED_VALUE"""),"Алексей")</f>
        <v>Алексей</v>
      </c>
      <c r="D473" t="str">
        <f ca="1">IFERROR(__xludf.DUMMYFUNCTION("""COMPUTED_VALUE"""),"Гимназия 261")</f>
        <v>Гимназия 261</v>
      </c>
      <c r="E473" s="5"/>
      <c r="F473" s="5"/>
      <c r="G473" s="5"/>
      <c r="H473" s="5"/>
      <c r="I473" s="5"/>
      <c r="J473" s="5"/>
      <c r="K473" s="5"/>
      <c r="L473" s="5"/>
      <c r="M473">
        <f ca="1">IFERROR(__xludf.DUMMYFUNCTION("""COMPUTED_VALUE"""),0)</f>
        <v>0</v>
      </c>
      <c r="N473" s="8"/>
    </row>
    <row r="474" spans="1:14" ht="12.45" hidden="1">
      <c r="A474" t="str">
        <f ca="1">IFERROR(__xludf.DUMMYFUNCTION("""COMPUTED_VALUE"""),"III-3-195")</f>
        <v>III-3-195</v>
      </c>
      <c r="B474" t="str">
        <f ca="1">IFERROR(__xludf.DUMMYFUNCTION("""COMPUTED_VALUE"""),"Каменщик")</f>
        <v>Каменщик</v>
      </c>
      <c r="C474" t="str">
        <f ca="1">IFERROR(__xludf.DUMMYFUNCTION("""COMPUTED_VALUE"""),"Александр")</f>
        <v>Александр</v>
      </c>
      <c r="D474" t="str">
        <f ca="1">IFERROR(__xludf.DUMMYFUNCTION("""COMPUTED_VALUE"""),"Школа 89")</f>
        <v>Школа 89</v>
      </c>
      <c r="E474" s="5"/>
      <c r="F474" s="5"/>
      <c r="G474" s="5"/>
      <c r="H474" s="5"/>
      <c r="I474" s="5"/>
      <c r="J474" s="5"/>
      <c r="K474" s="5"/>
      <c r="L474" s="5"/>
      <c r="M474">
        <f ca="1">IFERROR(__xludf.DUMMYFUNCTION("""COMPUTED_VALUE"""),0)</f>
        <v>0</v>
      </c>
      <c r="N474" s="8"/>
    </row>
    <row r="475" spans="1:14" ht="12.45" hidden="1">
      <c r="A475" t="str">
        <f ca="1">IFERROR(__xludf.DUMMYFUNCTION("""COMPUTED_VALUE"""),"III-3-273")</f>
        <v>III-3-273</v>
      </c>
      <c r="B475" t="str">
        <f ca="1">IFERROR(__xludf.DUMMYFUNCTION("""COMPUTED_VALUE"""),"Кучкарова")</f>
        <v>Кучкарова</v>
      </c>
      <c r="C475" t="str">
        <f ca="1">IFERROR(__xludf.DUMMYFUNCTION("""COMPUTED_VALUE"""),"Ольга")</f>
        <v>Ольга</v>
      </c>
      <c r="D475" t="str">
        <f ca="1">IFERROR(__xludf.DUMMYFUNCTION("""COMPUTED_VALUE"""),"Школа 482")</f>
        <v>Школа 482</v>
      </c>
      <c r="E475" s="5"/>
      <c r="F475" s="5"/>
      <c r="G475" s="5"/>
      <c r="H475" s="5"/>
      <c r="I475" s="5"/>
      <c r="J475" s="5"/>
      <c r="K475" s="5"/>
      <c r="L475" s="5"/>
      <c r="M475">
        <f ca="1">IFERROR(__xludf.DUMMYFUNCTION("""COMPUTED_VALUE"""),0)</f>
        <v>0</v>
      </c>
      <c r="N475" s="8"/>
    </row>
    <row r="476" spans="1:14" ht="12.45" hidden="1">
      <c r="A476" t="str">
        <f ca="1">IFERROR(__xludf.DUMMYFUNCTION("""COMPUTED_VALUE"""),"III-3-188")</f>
        <v>III-3-188</v>
      </c>
      <c r="B476" t="str">
        <f ca="1">IFERROR(__xludf.DUMMYFUNCTION("""COMPUTED_VALUE"""),"Ищук")</f>
        <v>Ищук</v>
      </c>
      <c r="C476" t="str">
        <f ca="1">IFERROR(__xludf.DUMMYFUNCTION("""COMPUTED_VALUE"""),"Игорь")</f>
        <v>Игорь</v>
      </c>
      <c r="D476" t="str">
        <f ca="1">IFERROR(__xludf.DUMMYFUNCTION("""COMPUTED_VALUE"""),"Школа 482")</f>
        <v>Школа 482</v>
      </c>
      <c r="E476" s="5"/>
      <c r="F476" s="5"/>
      <c r="G476" s="5"/>
      <c r="H476" s="5"/>
      <c r="I476" s="5"/>
      <c r="J476" s="5"/>
      <c r="K476" s="5"/>
      <c r="L476" s="5"/>
      <c r="M476">
        <f ca="1">IFERROR(__xludf.DUMMYFUNCTION("""COMPUTED_VALUE"""),0)</f>
        <v>0</v>
      </c>
      <c r="N476" s="8"/>
    </row>
    <row r="477" spans="1:14" ht="12.45" hidden="1">
      <c r="A477" t="str">
        <f ca="1">IFERROR(__xludf.DUMMYFUNCTION("""COMPUTED_VALUE"""),"V-3-522")</f>
        <v>V-3-522</v>
      </c>
      <c r="B477" t="str">
        <f ca="1">IFERROR(__xludf.DUMMYFUNCTION("""COMPUTED_VALUE"""),"Третьяков")</f>
        <v>Третьяков</v>
      </c>
      <c r="C477" t="str">
        <f ca="1">IFERROR(__xludf.DUMMYFUNCTION("""COMPUTED_VALUE"""),"Андрей")</f>
        <v>Андрей</v>
      </c>
      <c r="D477" t="str">
        <f ca="1">IFERROR(__xludf.DUMMYFUNCTION("""COMPUTED_VALUE"""),"Школа 482")</f>
        <v>Школа 482</v>
      </c>
      <c r="E477" s="5"/>
      <c r="F477" s="5"/>
      <c r="G477" s="5"/>
      <c r="H477" s="5"/>
      <c r="I477" s="5"/>
      <c r="J477" s="5"/>
      <c r="K477" s="5"/>
      <c r="L477" s="5"/>
      <c r="M477">
        <f ca="1">IFERROR(__xludf.DUMMYFUNCTION("""COMPUTED_VALUE"""),0)</f>
        <v>0</v>
      </c>
      <c r="N477" s="8"/>
    </row>
    <row r="478" spans="1:14" ht="12.45" hidden="1">
      <c r="A478" t="str">
        <f ca="1">IFERROR(__xludf.DUMMYFUNCTION("""COMPUTED_VALUE"""),"V-3-312")</f>
        <v>V-3-312</v>
      </c>
      <c r="B478" t="str">
        <f ca="1">IFERROR(__xludf.DUMMYFUNCTION("""COMPUTED_VALUE"""),"Максымив")</f>
        <v>Максымив</v>
      </c>
      <c r="C478" t="str">
        <f ca="1">IFERROR(__xludf.DUMMYFUNCTION("""COMPUTED_VALUE"""),"Денис")</f>
        <v>Денис</v>
      </c>
      <c r="D478" t="str">
        <f ca="1">IFERROR(__xludf.DUMMYFUNCTION("""COMPUTED_VALUE"""),"Гимназия 24")</f>
        <v>Гимназия 24</v>
      </c>
      <c r="E478" s="5"/>
      <c r="F478" s="5"/>
      <c r="G478" s="5"/>
      <c r="H478" s="5"/>
      <c r="I478" s="5"/>
      <c r="J478" s="5"/>
      <c r="K478" s="5"/>
      <c r="L478" s="5"/>
      <c r="M478">
        <f ca="1">IFERROR(__xludf.DUMMYFUNCTION("""COMPUTED_VALUE"""),0)</f>
        <v>0</v>
      </c>
      <c r="N478" s="8"/>
    </row>
    <row r="479" spans="1:14" ht="12.45" hidden="1">
      <c r="A479" t="str">
        <f ca="1">IFERROR(__xludf.DUMMYFUNCTION("""COMPUTED_VALUE"""),"III-3-101")</f>
        <v>III-3-101</v>
      </c>
      <c r="B479" t="str">
        <f ca="1">IFERROR(__xludf.DUMMYFUNCTION("""COMPUTED_VALUE"""),"Гейслер")</f>
        <v>Гейслер</v>
      </c>
      <c r="C479" t="str">
        <f ca="1">IFERROR(__xludf.DUMMYFUNCTION("""COMPUTED_VALUE"""),"Марк")</f>
        <v>Марк</v>
      </c>
      <c r="D479" t="str">
        <f ca="1">IFERROR(__xludf.DUMMYFUNCTION("""COMPUTED_VALUE"""),"Школа 222")</f>
        <v>Школа 222</v>
      </c>
      <c r="E479" s="5"/>
      <c r="F479" s="5"/>
      <c r="G479" s="5"/>
      <c r="H479" s="5"/>
      <c r="I479" s="5"/>
      <c r="J479" s="5"/>
      <c r="K479" s="5"/>
      <c r="L479" s="5"/>
      <c r="M479">
        <f ca="1">IFERROR(__xludf.DUMMYFUNCTION("""COMPUTED_VALUE"""),0)</f>
        <v>0</v>
      </c>
      <c r="N479" s="8"/>
    </row>
    <row r="480" spans="1:14" ht="12.45" hidden="1">
      <c r="A480" t="str">
        <f ca="1">IFERROR(__xludf.DUMMYFUNCTION("""COMPUTED_VALUE"""),"V-3-508")</f>
        <v>V-3-508</v>
      </c>
      <c r="B480" t="str">
        <f ca="1">IFERROR(__xludf.DUMMYFUNCTION("""COMPUTED_VALUE"""),"Сыроватский")</f>
        <v>Сыроватский</v>
      </c>
      <c r="C480" t="str">
        <f ca="1">IFERROR(__xludf.DUMMYFUNCTION("""COMPUTED_VALUE"""),"Артемий")</f>
        <v>Артемий</v>
      </c>
      <c r="D480" t="str">
        <f ca="1">IFERROR(__xludf.DUMMYFUNCTION("""COMPUTED_VALUE"""),"Гимназия 642")</f>
        <v>Гимназия 642</v>
      </c>
      <c r="E480" s="5"/>
      <c r="F480" s="5"/>
      <c r="G480" s="5"/>
      <c r="H480" s="5"/>
      <c r="I480" s="5"/>
      <c r="J480" s="5"/>
      <c r="K480" s="5"/>
      <c r="L480" s="5"/>
      <c r="M480">
        <f ca="1">IFERROR(__xludf.DUMMYFUNCTION("""COMPUTED_VALUE"""),0)</f>
        <v>0</v>
      </c>
      <c r="N480" s="8"/>
    </row>
    <row r="481" spans="1:14" ht="12.45" hidden="1">
      <c r="A481" t="str">
        <f ca="1">IFERROR(__xludf.DUMMYFUNCTION("""COMPUTED_VALUE"""),"III-3-080")</f>
        <v>III-3-080</v>
      </c>
      <c r="B481" t="str">
        <f ca="1">IFERROR(__xludf.DUMMYFUNCTION("""COMPUTED_VALUE"""),"Верещагин")</f>
        <v>Верещагин</v>
      </c>
      <c r="C481" t="str">
        <f ca="1">IFERROR(__xludf.DUMMYFUNCTION("""COMPUTED_VALUE"""),"Никита")</f>
        <v>Никита</v>
      </c>
      <c r="D481" t="str">
        <f ca="1">IFERROR(__xludf.DUMMYFUNCTION("""COMPUTED_VALUE"""),"Гимназия 642")</f>
        <v>Гимназия 642</v>
      </c>
      <c r="E481" s="5"/>
      <c r="F481" s="5"/>
      <c r="G481" s="5"/>
      <c r="H481" s="5"/>
      <c r="I481" s="5"/>
      <c r="J481" s="5"/>
      <c r="K481" s="5"/>
      <c r="L481" s="5"/>
      <c r="M481">
        <f ca="1">IFERROR(__xludf.DUMMYFUNCTION("""COMPUTED_VALUE"""),0)</f>
        <v>0</v>
      </c>
      <c r="N481" s="8"/>
    </row>
    <row r="482" spans="1:14" ht="12.45" hidden="1">
      <c r="A482" t="str">
        <f ca="1">IFERROR(__xludf.DUMMYFUNCTION("""COMPUTED_VALUE"""),"III-3-250")</f>
        <v>III-3-250</v>
      </c>
      <c r="B482" t="str">
        <f ca="1">IFERROR(__xludf.DUMMYFUNCTION("""COMPUTED_VALUE"""),"Крыжановская")</f>
        <v>Крыжановская</v>
      </c>
      <c r="C482" t="str">
        <f ca="1">IFERROR(__xludf.DUMMYFUNCTION("""COMPUTED_VALUE"""),"Вероника")</f>
        <v>Вероника</v>
      </c>
      <c r="D482" t="str">
        <f ca="1">IFERROR(__xludf.DUMMYFUNCTION("""COMPUTED_VALUE"""),"Школа 20")</f>
        <v>Школа 20</v>
      </c>
      <c r="E482" s="5"/>
      <c r="F482" s="5"/>
      <c r="G482" s="5"/>
      <c r="H482" s="5"/>
      <c r="I482" s="5"/>
      <c r="J482" s="5"/>
      <c r="K482" s="5"/>
      <c r="L482" s="5"/>
      <c r="M482">
        <f ca="1">IFERROR(__xludf.DUMMYFUNCTION("""COMPUTED_VALUE"""),0)</f>
        <v>0</v>
      </c>
      <c r="N482" s="8"/>
    </row>
    <row r="483" spans="1:14" ht="12.45" hidden="1">
      <c r="A483" t="str">
        <f ca="1">IFERROR(__xludf.DUMMYFUNCTION("""COMPUTED_VALUE"""),"V-3-330")</f>
        <v>V-3-330</v>
      </c>
      <c r="B483" t="str">
        <f ca="1">IFERROR(__xludf.DUMMYFUNCTION("""COMPUTED_VALUE"""),"Метлинский")</f>
        <v>Метлинский</v>
      </c>
      <c r="C483" t="str">
        <f ca="1">IFERROR(__xludf.DUMMYFUNCTION("""COMPUTED_VALUE"""),"Илья")</f>
        <v>Илья</v>
      </c>
      <c r="D483" t="str">
        <f ca="1">IFERROR(__xludf.DUMMYFUNCTION("""COMPUTED_VALUE"""),"Школа 536")</f>
        <v>Школа 536</v>
      </c>
      <c r="E483" s="5"/>
      <c r="F483" s="5"/>
      <c r="G483" s="5"/>
      <c r="H483" s="5"/>
      <c r="I483" s="5"/>
      <c r="J483" s="5"/>
      <c r="K483" s="5"/>
      <c r="L483" s="5"/>
      <c r="M483">
        <f ca="1">IFERROR(__xludf.DUMMYFUNCTION("""COMPUTED_VALUE"""),0)</f>
        <v>0</v>
      </c>
      <c r="N483" s="8"/>
    </row>
    <row r="484" spans="1:14" ht="12.45" hidden="1">
      <c r="A484" t="str">
        <f ca="1">IFERROR(__xludf.DUMMYFUNCTION("""COMPUTED_VALUE"""),"III-3-172")</f>
        <v>III-3-172</v>
      </c>
      <c r="B484" t="str">
        <f ca="1">IFERROR(__xludf.DUMMYFUNCTION("""COMPUTED_VALUE"""),"Иванов")</f>
        <v>Иванов</v>
      </c>
      <c r="C484" t="str">
        <f ca="1">IFERROR(__xludf.DUMMYFUNCTION("""COMPUTED_VALUE"""),"Арсений")</f>
        <v>Арсений</v>
      </c>
      <c r="D484" t="str">
        <f ca="1">IFERROR(__xludf.DUMMYFUNCTION("""COMPUTED_VALUE"""),"Школа 18")</f>
        <v>Школа 18</v>
      </c>
      <c r="E484" s="5"/>
      <c r="F484" s="5"/>
      <c r="G484" s="5"/>
      <c r="H484" s="5"/>
      <c r="I484" s="5"/>
      <c r="J484" s="5"/>
      <c r="K484" s="5"/>
      <c r="L484" s="5"/>
      <c r="M484">
        <f ca="1">IFERROR(__xludf.DUMMYFUNCTION("""COMPUTED_VALUE"""),0)</f>
        <v>0</v>
      </c>
      <c r="N484" s="8"/>
    </row>
    <row r="485" spans="1:14" ht="12.45" hidden="1">
      <c r="A485" t="str">
        <f ca="1">IFERROR(__xludf.DUMMYFUNCTION("""COMPUTED_VALUE"""),"III-3-135")</f>
        <v>III-3-135</v>
      </c>
      <c r="B485" t="str">
        <f ca="1">IFERROR(__xludf.DUMMYFUNCTION("""COMPUTED_VALUE"""),"Дуйкова")</f>
        <v>Дуйкова</v>
      </c>
      <c r="C485" t="str">
        <f ca="1">IFERROR(__xludf.DUMMYFUNCTION("""COMPUTED_VALUE"""),"Анфиса")</f>
        <v>Анфиса</v>
      </c>
      <c r="D485" t="str">
        <f ca="1">IFERROR(__xludf.DUMMYFUNCTION("""COMPUTED_VALUE"""),"Школа 606")</f>
        <v>Школа 606</v>
      </c>
      <c r="E485" s="5"/>
      <c r="F485" s="5"/>
      <c r="G485" s="5"/>
      <c r="H485" s="5"/>
      <c r="I485" s="5"/>
      <c r="J485" s="5"/>
      <c r="K485" s="5"/>
      <c r="L485" s="5"/>
      <c r="M485">
        <f ca="1">IFERROR(__xludf.DUMMYFUNCTION("""COMPUTED_VALUE"""),0)</f>
        <v>0</v>
      </c>
      <c r="N485" s="8"/>
    </row>
    <row r="486" spans="1:14" ht="12.45" hidden="1">
      <c r="A486" t="str">
        <f ca="1">IFERROR(__xludf.DUMMYFUNCTION("""COMPUTED_VALUE"""),"III-3-285")</f>
        <v>III-3-285</v>
      </c>
      <c r="B486" t="str">
        <f ca="1">IFERROR(__xludf.DUMMYFUNCTION("""COMPUTED_VALUE"""),"Левиз")</f>
        <v>Левиз</v>
      </c>
      <c r="C486" t="str">
        <f ca="1">IFERROR(__xludf.DUMMYFUNCTION("""COMPUTED_VALUE"""),"Василий")</f>
        <v>Василий</v>
      </c>
      <c r="D486" t="str">
        <f ca="1">IFERROR(__xludf.DUMMYFUNCTION("""COMPUTED_VALUE"""),"Гимназия 56")</f>
        <v>Гимназия 56</v>
      </c>
      <c r="E486" s="5"/>
      <c r="F486" s="5"/>
      <c r="G486" s="5"/>
      <c r="H486" s="5"/>
      <c r="I486" s="5"/>
      <c r="J486" s="5"/>
      <c r="K486" s="5"/>
      <c r="L486" s="5"/>
      <c r="M486">
        <f ca="1">IFERROR(__xludf.DUMMYFUNCTION("""COMPUTED_VALUE"""),0)</f>
        <v>0</v>
      </c>
      <c r="N486" s="8"/>
    </row>
    <row r="487" spans="1:14" ht="12.45" hidden="1">
      <c r="A487" t="str">
        <f ca="1">IFERROR(__xludf.DUMMYFUNCTION("""COMPUTED_VALUE"""),"V-3-530")</f>
        <v>V-3-530</v>
      </c>
      <c r="B487" t="str">
        <f ca="1">IFERROR(__xludf.DUMMYFUNCTION("""COMPUTED_VALUE"""),"Тюкин")</f>
        <v>Тюкин</v>
      </c>
      <c r="C487" t="str">
        <f ca="1">IFERROR(__xludf.DUMMYFUNCTION("""COMPUTED_VALUE"""),"Иван")</f>
        <v>Иван</v>
      </c>
      <c r="D487" t="str">
        <f ca="1">IFERROR(__xludf.DUMMYFUNCTION("""COMPUTED_VALUE"""),"Гимназия 56")</f>
        <v>Гимназия 56</v>
      </c>
      <c r="E487" s="5"/>
      <c r="F487" s="5"/>
      <c r="G487" s="5"/>
      <c r="H487" s="5"/>
      <c r="I487" s="5"/>
      <c r="J487" s="5"/>
      <c r="K487" s="5"/>
      <c r="L487" s="5"/>
      <c r="M487">
        <f ca="1">IFERROR(__xludf.DUMMYFUNCTION("""COMPUTED_VALUE"""),0)</f>
        <v>0</v>
      </c>
      <c r="N487" s="8"/>
    </row>
    <row r="488" spans="1:14" ht="12.45" hidden="1">
      <c r="A488" t="str">
        <f ca="1">IFERROR(__xludf.DUMMYFUNCTION("""COMPUTED_VALUE"""),"III-3-079")</f>
        <v>III-3-079</v>
      </c>
      <c r="B488" t="str">
        <f ca="1">IFERROR(__xludf.DUMMYFUNCTION("""COMPUTED_VALUE"""),"Ведунов")</f>
        <v>Ведунов</v>
      </c>
      <c r="C488" t="str">
        <f ca="1">IFERROR(__xludf.DUMMYFUNCTION("""COMPUTED_VALUE"""),"Петр")</f>
        <v>Петр</v>
      </c>
      <c r="D488" t="str">
        <f ca="1">IFERROR(__xludf.DUMMYFUNCTION("""COMPUTED_VALUE"""),"Гимназия 56")</f>
        <v>Гимназия 56</v>
      </c>
      <c r="E488" s="5"/>
      <c r="F488" s="5"/>
      <c r="G488" s="5"/>
      <c r="H488" s="5"/>
      <c r="I488" s="5"/>
      <c r="J488" s="5"/>
      <c r="K488" s="5"/>
      <c r="L488" s="5"/>
      <c r="M488">
        <f ca="1">IFERROR(__xludf.DUMMYFUNCTION("""COMPUTED_VALUE"""),0)</f>
        <v>0</v>
      </c>
      <c r="N488" s="8"/>
    </row>
    <row r="489" spans="1:14" ht="12.45" hidden="1">
      <c r="A489" t="str">
        <f ca="1">IFERROR(__xludf.DUMMYFUNCTION("""COMPUTED_VALUE"""),"III-3-229")</f>
        <v>III-3-229</v>
      </c>
      <c r="B489" t="str">
        <f ca="1">IFERROR(__xludf.DUMMYFUNCTION("""COMPUTED_VALUE"""),"Кондратьев")</f>
        <v>Кондратьев</v>
      </c>
      <c r="C489" t="str">
        <f ca="1">IFERROR(__xludf.DUMMYFUNCTION("""COMPUTED_VALUE"""),"Артем")</f>
        <v>Артем</v>
      </c>
      <c r="D489" t="str">
        <f ca="1">IFERROR(__xludf.DUMMYFUNCTION("""COMPUTED_VALUE"""),"Гимназия 56")</f>
        <v>Гимназия 56</v>
      </c>
      <c r="E489" s="5"/>
      <c r="F489" s="5"/>
      <c r="G489" s="5"/>
      <c r="H489" s="5"/>
      <c r="I489" s="5"/>
      <c r="J489" s="5"/>
      <c r="K489" s="5"/>
      <c r="L489" s="5"/>
      <c r="M489">
        <f ca="1">IFERROR(__xludf.DUMMYFUNCTION("""COMPUTED_VALUE"""),0)</f>
        <v>0</v>
      </c>
      <c r="N489" s="8"/>
    </row>
    <row r="490" spans="1:14" ht="12.45" hidden="1">
      <c r="A490" t="str">
        <f ca="1">IFERROR(__xludf.DUMMYFUNCTION("""COMPUTED_VALUE"""),"III-3-270")</f>
        <v>III-3-270</v>
      </c>
      <c r="B490" t="str">
        <f ca="1">IFERROR(__xludf.DUMMYFUNCTION("""COMPUTED_VALUE"""),"Кустов")</f>
        <v>Кустов</v>
      </c>
      <c r="C490" t="str">
        <f ca="1">IFERROR(__xludf.DUMMYFUNCTION("""COMPUTED_VALUE"""),"Артём")</f>
        <v>Артём</v>
      </c>
      <c r="D490" t="str">
        <f ca="1">IFERROR(__xludf.DUMMYFUNCTION("""COMPUTED_VALUE"""),"Гимназия 56")</f>
        <v>Гимназия 56</v>
      </c>
      <c r="E490" s="5"/>
      <c r="F490" s="5"/>
      <c r="G490" s="5"/>
      <c r="H490" s="5"/>
      <c r="I490" s="5"/>
      <c r="J490" s="5"/>
      <c r="K490" s="5"/>
      <c r="L490" s="5"/>
      <c r="M490">
        <f ca="1">IFERROR(__xludf.DUMMYFUNCTION("""COMPUTED_VALUE"""),0)</f>
        <v>0</v>
      </c>
      <c r="N490" s="8"/>
    </row>
    <row r="491" spans="1:14" ht="12.45" hidden="1">
      <c r="A491" t="str">
        <f ca="1">IFERROR(__xludf.DUMMYFUNCTION("""COMPUTED_VALUE"""),"III-3-192")</f>
        <v>III-3-192</v>
      </c>
      <c r="B491" t="str">
        <f ca="1">IFERROR(__xludf.DUMMYFUNCTION("""COMPUTED_VALUE"""),"Казенашев")</f>
        <v>Казенашев</v>
      </c>
      <c r="C491" t="str">
        <f ca="1">IFERROR(__xludf.DUMMYFUNCTION("""COMPUTED_VALUE"""),"Георгий")</f>
        <v>Георгий</v>
      </c>
      <c r="D491" t="str">
        <f ca="1">IFERROR(__xludf.DUMMYFUNCTION("""COMPUTED_VALUE"""),"Школа 1302")</f>
        <v>Школа 1302</v>
      </c>
      <c r="E491" s="5"/>
      <c r="F491" s="5"/>
      <c r="G491" s="5"/>
      <c r="H491" s="5"/>
      <c r="I491" s="5"/>
      <c r="J491" s="5"/>
      <c r="K491" s="5"/>
      <c r="L491" s="5"/>
      <c r="M491">
        <f ca="1">IFERROR(__xludf.DUMMYFUNCTION("""COMPUTED_VALUE"""),0)</f>
        <v>0</v>
      </c>
      <c r="N491" s="8"/>
    </row>
    <row r="492" spans="1:14" ht="12.45" hidden="1">
      <c r="A492" t="str">
        <f ca="1">IFERROR(__xludf.DUMMYFUNCTION("""COMPUTED_VALUE"""),"V-3-320")</f>
        <v>V-3-320</v>
      </c>
      <c r="B492" t="str">
        <f ca="1">IFERROR(__xludf.DUMMYFUNCTION("""COMPUTED_VALUE"""),"Марьянкова")</f>
        <v>Марьянкова</v>
      </c>
      <c r="C492" t="str">
        <f ca="1">IFERROR(__xludf.DUMMYFUNCTION("""COMPUTED_VALUE"""),"Анастасия")</f>
        <v>Анастасия</v>
      </c>
      <c r="D492" t="str">
        <f ca="1">IFERROR(__xludf.DUMMYFUNCTION("""COMPUTED_VALUE"""),"Гимназия 56")</f>
        <v>Гимназия 56</v>
      </c>
      <c r="E492" s="5"/>
      <c r="F492" s="5"/>
      <c r="G492" s="5"/>
      <c r="H492" s="5"/>
      <c r="I492" s="5"/>
      <c r="J492" s="5"/>
      <c r="K492" s="5"/>
      <c r="L492" s="5"/>
      <c r="M492">
        <f ca="1">IFERROR(__xludf.DUMMYFUNCTION("""COMPUTED_VALUE"""),0)</f>
        <v>0</v>
      </c>
      <c r="N492" s="8"/>
    </row>
    <row r="493" spans="1:14" ht="12.45" hidden="1">
      <c r="A493" t="str">
        <f ca="1">IFERROR(__xludf.DUMMYFUNCTION("""COMPUTED_VALUE"""),"III-3-210")</f>
        <v>III-3-210</v>
      </c>
      <c r="B493" t="str">
        <f ca="1">IFERROR(__xludf.DUMMYFUNCTION("""COMPUTED_VALUE"""),"Киршина")</f>
        <v>Киршина</v>
      </c>
      <c r="C493" t="str">
        <f ca="1">IFERROR(__xludf.DUMMYFUNCTION("""COMPUTED_VALUE"""),"Елизавета")</f>
        <v>Елизавета</v>
      </c>
      <c r="D493" t="str">
        <f ca="1">IFERROR(__xludf.DUMMYFUNCTION("""COMPUTED_VALUE"""),"Лицей 393")</f>
        <v>Лицей 393</v>
      </c>
      <c r="E493" s="5"/>
      <c r="F493" s="5"/>
      <c r="G493" s="5"/>
      <c r="H493" s="5"/>
      <c r="I493" s="5"/>
      <c r="J493" s="5"/>
      <c r="K493" s="5"/>
      <c r="L493" s="5"/>
      <c r="M493">
        <f ca="1">IFERROR(__xludf.DUMMYFUNCTION("""COMPUTED_VALUE"""),0)</f>
        <v>0</v>
      </c>
      <c r="N493" s="8"/>
    </row>
    <row r="494" spans="1:14" ht="12.45" hidden="1">
      <c r="A494" t="str">
        <f ca="1">IFERROR(__xludf.DUMMYFUNCTION("""COMPUTED_VALUE"""),"III-3-058")</f>
        <v>III-3-058</v>
      </c>
      <c r="B494" t="str">
        <f ca="1">IFERROR(__xludf.DUMMYFUNCTION("""COMPUTED_VALUE"""),"Бреховских")</f>
        <v>Бреховских</v>
      </c>
      <c r="C494" t="str">
        <f ca="1">IFERROR(__xludf.DUMMYFUNCTION("""COMPUTED_VALUE"""),"Глеб")</f>
        <v>Глеб</v>
      </c>
      <c r="D494" t="str">
        <f ca="1">IFERROR(__xludf.DUMMYFUNCTION("""COMPUTED_VALUE"""),"Лицей 393")</f>
        <v>Лицей 393</v>
      </c>
      <c r="E494" s="5"/>
      <c r="F494" s="5"/>
      <c r="G494" s="5"/>
      <c r="H494" s="5"/>
      <c r="I494" s="5"/>
      <c r="J494" s="5"/>
      <c r="K494" s="5"/>
      <c r="L494" s="5"/>
      <c r="M494">
        <f ca="1">IFERROR(__xludf.DUMMYFUNCTION("""COMPUTED_VALUE"""),0)</f>
        <v>0</v>
      </c>
      <c r="N494" s="8"/>
    </row>
    <row r="495" spans="1:14" ht="12.45" hidden="1">
      <c r="A495" t="str">
        <f ca="1">IFERROR(__xludf.DUMMYFUNCTION("""COMPUTED_VALUE"""),"V-3-432")</f>
        <v>V-3-432</v>
      </c>
      <c r="B495" t="str">
        <f ca="1">IFERROR(__xludf.DUMMYFUNCTION("""COMPUTED_VALUE"""),"Пылинина")</f>
        <v>Пылинина</v>
      </c>
      <c r="C495" t="str">
        <f ca="1">IFERROR(__xludf.DUMMYFUNCTION("""COMPUTED_VALUE"""),"Александра")</f>
        <v>Александра</v>
      </c>
      <c r="D495" t="str">
        <f ca="1">IFERROR(__xludf.DUMMYFUNCTION("""COMPUTED_VALUE"""),"Школа 21")</f>
        <v>Школа 21</v>
      </c>
      <c r="E495" s="5"/>
      <c r="F495" s="5"/>
      <c r="G495" s="5"/>
      <c r="H495" s="5"/>
      <c r="I495" s="5"/>
      <c r="J495" s="5"/>
      <c r="K495" s="5"/>
      <c r="L495" s="5"/>
      <c r="M495">
        <f ca="1">IFERROR(__xludf.DUMMYFUNCTION("""COMPUTED_VALUE"""),0)</f>
        <v>0</v>
      </c>
      <c r="N495" s="8"/>
    </row>
    <row r="496" spans="1:14" ht="12.45" hidden="1">
      <c r="A496" t="str">
        <f ca="1">IFERROR(__xludf.DUMMYFUNCTION("""COMPUTED_VALUE"""),"III-3-011")</f>
        <v>III-3-011</v>
      </c>
      <c r="B496" t="str">
        <f ca="1">IFERROR(__xludf.DUMMYFUNCTION("""COMPUTED_VALUE"""),"Алексеева")</f>
        <v>Алексеева</v>
      </c>
      <c r="C496" t="str">
        <f ca="1">IFERROR(__xludf.DUMMYFUNCTION("""COMPUTED_VALUE"""),"Ольга")</f>
        <v>Ольга</v>
      </c>
      <c r="D496" t="str">
        <f ca="1">IFERROR(__xludf.DUMMYFUNCTION("""COMPUTED_VALUE"""),"Школа 112")</f>
        <v>Школа 112</v>
      </c>
      <c r="E496" s="5"/>
      <c r="F496" s="5"/>
      <c r="G496" s="5"/>
      <c r="H496" s="5"/>
      <c r="I496" s="5"/>
      <c r="J496" s="5"/>
      <c r="K496" s="5"/>
      <c r="L496" s="5"/>
      <c r="M496">
        <f ca="1">IFERROR(__xludf.DUMMYFUNCTION("""COMPUTED_VALUE"""),0)</f>
        <v>0</v>
      </c>
      <c r="N496" s="8"/>
    </row>
    <row r="497" spans="1:14" ht="12.45" hidden="1">
      <c r="A497" t="str">
        <f ca="1">IFERROR(__xludf.DUMMYFUNCTION("""COMPUTED_VALUE"""),"III-3-153")</f>
        <v>III-3-153</v>
      </c>
      <c r="B497" t="str">
        <f ca="1">IFERROR(__xludf.DUMMYFUNCTION("""COMPUTED_VALUE"""),"Жукова")</f>
        <v>Жукова</v>
      </c>
      <c r="C497" t="str">
        <f ca="1">IFERROR(__xludf.DUMMYFUNCTION("""COMPUTED_VALUE"""),"Елена")</f>
        <v>Елена</v>
      </c>
      <c r="D497" t="str">
        <f ca="1">IFERROR(__xludf.DUMMYFUNCTION("""COMPUTED_VALUE"""),"Школа 112")</f>
        <v>Школа 112</v>
      </c>
      <c r="E497" s="5"/>
      <c r="F497" s="5"/>
      <c r="G497" s="5"/>
      <c r="H497" s="5"/>
      <c r="I497" s="5"/>
      <c r="J497" s="5"/>
      <c r="K497" s="5"/>
      <c r="L497" s="5"/>
      <c r="M497">
        <f ca="1">IFERROR(__xludf.DUMMYFUNCTION("""COMPUTED_VALUE"""),0)</f>
        <v>0</v>
      </c>
      <c r="N497" s="8"/>
    </row>
    <row r="498" spans="1:14" ht="12.45" hidden="1">
      <c r="A498" t="str">
        <f ca="1">IFERROR(__xludf.DUMMYFUNCTION("""COMPUTED_VALUE"""),"V-3-336")</f>
        <v>V-3-336</v>
      </c>
      <c r="B498" t="str">
        <f ca="1">IFERROR(__xludf.DUMMYFUNCTION("""COMPUTED_VALUE"""),"Михайлов")</f>
        <v>Михайлов</v>
      </c>
      <c r="C498" t="str">
        <f ca="1">IFERROR(__xludf.DUMMYFUNCTION("""COMPUTED_VALUE"""),"Иван")</f>
        <v>Иван</v>
      </c>
      <c r="D498" t="str">
        <f ca="1">IFERROR(__xludf.DUMMYFUNCTION("""COMPUTED_VALUE"""),"Гимназия 642")</f>
        <v>Гимназия 642</v>
      </c>
      <c r="E498" s="5"/>
      <c r="F498" s="5"/>
      <c r="G498" s="5"/>
      <c r="H498" s="5"/>
      <c r="I498" s="5"/>
      <c r="J498" s="5"/>
      <c r="K498" s="5"/>
      <c r="L498" s="5"/>
      <c r="M498">
        <f ca="1">IFERROR(__xludf.DUMMYFUNCTION("""COMPUTED_VALUE"""),0)</f>
        <v>0</v>
      </c>
      <c r="N498" s="8"/>
    </row>
    <row r="499" spans="1:14" ht="12.45" hidden="1">
      <c r="A499" t="str">
        <f ca="1">IFERROR(__xludf.DUMMYFUNCTION("""COMPUTED_VALUE"""),"V-3-314")</f>
        <v>V-3-314</v>
      </c>
      <c r="B499" t="str">
        <f ca="1">IFERROR(__xludf.DUMMYFUNCTION("""COMPUTED_VALUE"""),"Малюкова")</f>
        <v>Малюкова</v>
      </c>
      <c r="C499" t="str">
        <f ca="1">IFERROR(__xludf.DUMMYFUNCTION("""COMPUTED_VALUE"""),"Софья")</f>
        <v>Софья</v>
      </c>
      <c r="D499" t="str">
        <f ca="1">IFERROR(__xludf.DUMMYFUNCTION("""COMPUTED_VALUE"""),"Лицей 344")</f>
        <v>Лицей 344</v>
      </c>
      <c r="E499" s="5"/>
      <c r="F499" s="5"/>
      <c r="G499" s="5"/>
      <c r="H499" s="5"/>
      <c r="I499" s="5"/>
      <c r="J499" s="5"/>
      <c r="K499" s="5"/>
      <c r="L499" s="5"/>
      <c r="M499">
        <f ca="1">IFERROR(__xludf.DUMMYFUNCTION("""COMPUTED_VALUE"""),0)</f>
        <v>0</v>
      </c>
      <c r="N499" s="8"/>
    </row>
    <row r="500" spans="1:14" ht="12.45" hidden="1">
      <c r="A500" t="str">
        <f ca="1">IFERROR(__xludf.DUMMYFUNCTION("""COMPUTED_VALUE"""),"V-3-354")</f>
        <v>V-3-354</v>
      </c>
      <c r="B500" t="str">
        <f ca="1">IFERROR(__xludf.DUMMYFUNCTION("""COMPUTED_VALUE"""),"Мухаметгалеева")</f>
        <v>Мухаметгалеева</v>
      </c>
      <c r="C500" t="str">
        <f ca="1">IFERROR(__xludf.DUMMYFUNCTION("""COMPUTED_VALUE"""),"Диана")</f>
        <v>Диана</v>
      </c>
      <c r="D500" t="str">
        <f ca="1">IFERROR(__xludf.DUMMYFUNCTION("""COMPUTED_VALUE"""),"Лицей 344")</f>
        <v>Лицей 344</v>
      </c>
      <c r="E500" s="5"/>
      <c r="F500" s="5"/>
      <c r="G500" s="5"/>
      <c r="H500" s="5"/>
      <c r="I500" s="5"/>
      <c r="J500" s="5"/>
      <c r="K500" s="5"/>
      <c r="L500" s="5"/>
      <c r="M500">
        <f ca="1">IFERROR(__xludf.DUMMYFUNCTION("""COMPUTED_VALUE"""),0)</f>
        <v>0</v>
      </c>
      <c r="N500" s="8"/>
    </row>
    <row r="501" spans="1:14" ht="12.45" hidden="1">
      <c r="A501" t="str">
        <f ca="1">IFERROR(__xludf.DUMMYFUNCTION("""COMPUTED_VALUE"""),"V-3-372")</f>
        <v>V-3-372</v>
      </c>
      <c r="B501" t="str">
        <f ca="1">IFERROR(__xludf.DUMMYFUNCTION("""COMPUTED_VALUE"""),"Новаторов")</f>
        <v>Новаторов</v>
      </c>
      <c r="C501" t="str">
        <f ca="1">IFERROR(__xludf.DUMMYFUNCTION("""COMPUTED_VALUE"""),"Максим")</f>
        <v>Максим</v>
      </c>
      <c r="D501" t="str">
        <f ca="1">IFERROR(__xludf.DUMMYFUNCTION("""COMPUTED_VALUE"""),"Лицей 344")</f>
        <v>Лицей 344</v>
      </c>
      <c r="E501" s="5"/>
      <c r="F501" s="5"/>
      <c r="G501" s="5"/>
      <c r="H501" s="5"/>
      <c r="I501" s="5"/>
      <c r="J501" s="5"/>
      <c r="K501" s="5"/>
      <c r="L501" s="5"/>
      <c r="M501">
        <f ca="1">IFERROR(__xludf.DUMMYFUNCTION("""COMPUTED_VALUE"""),0)</f>
        <v>0</v>
      </c>
      <c r="N501" s="8"/>
    </row>
    <row r="502" spans="1:14" ht="12.45" hidden="1">
      <c r="A502" t="str">
        <f ca="1">IFERROR(__xludf.DUMMYFUNCTION("""COMPUTED_VALUE"""),"III-3-106")</f>
        <v>III-3-106</v>
      </c>
      <c r="B502" t="str">
        <f ca="1">IFERROR(__xludf.DUMMYFUNCTION("""COMPUTED_VALUE"""),"Голубев")</f>
        <v>Голубев</v>
      </c>
      <c r="C502" t="str">
        <f ca="1">IFERROR(__xludf.DUMMYFUNCTION("""COMPUTED_VALUE"""),"Артур")</f>
        <v>Артур</v>
      </c>
      <c r="D502" t="str">
        <f ca="1">IFERROR(__xludf.DUMMYFUNCTION("""COMPUTED_VALUE"""),"Школа 324")</f>
        <v>Школа 324</v>
      </c>
      <c r="E502" s="5"/>
      <c r="F502" s="5"/>
      <c r="G502" s="5"/>
      <c r="H502" s="5"/>
      <c r="I502" s="5"/>
      <c r="J502" s="5"/>
      <c r="K502" s="5"/>
      <c r="L502" s="5"/>
      <c r="M502">
        <f ca="1">IFERROR(__xludf.DUMMYFUNCTION("""COMPUTED_VALUE"""),0)</f>
        <v>0</v>
      </c>
      <c r="N502" s="8"/>
    </row>
    <row r="503" spans="1:14" ht="12.45" hidden="1">
      <c r="A503" t="str">
        <f ca="1">IFERROR(__xludf.DUMMYFUNCTION("""COMPUTED_VALUE"""),"V-3-514")</f>
        <v>V-3-514</v>
      </c>
      <c r="B503" t="str">
        <f ca="1">IFERROR(__xludf.DUMMYFUNCTION("""COMPUTED_VALUE"""),"Телешов")</f>
        <v>Телешов</v>
      </c>
      <c r="C503" t="str">
        <f ca="1">IFERROR(__xludf.DUMMYFUNCTION("""COMPUTED_VALUE"""),"Никита")</f>
        <v>Никита</v>
      </c>
      <c r="D503" t="str">
        <f ca="1">IFERROR(__xludf.DUMMYFUNCTION("""COMPUTED_VALUE"""),"Лицей 101")</f>
        <v>Лицей 101</v>
      </c>
      <c r="E503" s="5"/>
      <c r="F503" s="5"/>
      <c r="G503" s="5"/>
      <c r="H503" s="5"/>
      <c r="I503" s="5"/>
      <c r="J503" s="5"/>
      <c r="K503" s="5"/>
      <c r="L503" s="5"/>
      <c r="M503">
        <f ca="1">IFERROR(__xludf.DUMMYFUNCTION("""COMPUTED_VALUE"""),0)</f>
        <v>0</v>
      </c>
      <c r="N503" s="8"/>
    </row>
    <row r="504" spans="1:14" ht="12.45" hidden="1">
      <c r="A504" t="str">
        <f ca="1">IFERROR(__xludf.DUMMYFUNCTION("""COMPUTED_VALUE"""),"V-3-319")</f>
        <v>V-3-319</v>
      </c>
      <c r="B504" t="str">
        <f ca="1">IFERROR(__xludf.DUMMYFUNCTION("""COMPUTED_VALUE"""),"Мартынова")</f>
        <v>Мартынова</v>
      </c>
      <c r="C504" t="str">
        <f ca="1">IFERROR(__xludf.DUMMYFUNCTION("""COMPUTED_VALUE"""),"Мария")</f>
        <v>Мария</v>
      </c>
      <c r="D504" t="str">
        <f ca="1">IFERROR(__xludf.DUMMYFUNCTION("""COMPUTED_VALUE"""),"Школа 489")</f>
        <v>Школа 489</v>
      </c>
      <c r="E504" s="5"/>
      <c r="F504" s="5"/>
      <c r="G504" s="5"/>
      <c r="H504" s="5"/>
      <c r="I504" s="5"/>
      <c r="J504" s="5"/>
      <c r="K504" s="5"/>
      <c r="L504" s="5"/>
      <c r="M504">
        <f ca="1">IFERROR(__xludf.DUMMYFUNCTION("""COMPUTED_VALUE"""),0)</f>
        <v>0</v>
      </c>
      <c r="N504" s="8"/>
    </row>
    <row r="505" spans="1:14" ht="12.45" hidden="1">
      <c r="A505" t="str">
        <f ca="1">IFERROR(__xludf.DUMMYFUNCTION("""COMPUTED_VALUE"""),"V-3-523")</f>
        <v>V-3-523</v>
      </c>
      <c r="B505" t="str">
        <f ca="1">IFERROR(__xludf.DUMMYFUNCTION("""COMPUTED_VALUE"""),"Тропин")</f>
        <v>Тропин</v>
      </c>
      <c r="C505" t="str">
        <f ca="1">IFERROR(__xludf.DUMMYFUNCTION("""COMPUTED_VALUE"""),"Дмитрий")</f>
        <v>Дмитрий</v>
      </c>
      <c r="D505" t="str">
        <f ca="1">IFERROR(__xludf.DUMMYFUNCTION("""COMPUTED_VALUE"""),"Школа 489")</f>
        <v>Школа 489</v>
      </c>
      <c r="E505" s="5"/>
      <c r="F505" s="5"/>
      <c r="G505" s="5"/>
      <c r="H505" s="5"/>
      <c r="I505" s="5"/>
      <c r="J505" s="5"/>
      <c r="K505" s="5"/>
      <c r="L505" s="5"/>
      <c r="M505">
        <f ca="1">IFERROR(__xludf.DUMMYFUNCTION("""COMPUTED_VALUE"""),0)</f>
        <v>0</v>
      </c>
      <c r="N505" s="8"/>
    </row>
    <row r="506" spans="1:14" ht="12.45" hidden="1">
      <c r="A506" t="str">
        <f ca="1">IFERROR(__xludf.DUMMYFUNCTION("""COMPUTED_VALUE"""),"III-3-300")</f>
        <v>III-3-300</v>
      </c>
      <c r="B506" t="str">
        <f ca="1">IFERROR(__xludf.DUMMYFUNCTION("""COMPUTED_VALUE"""),"Лузянин")</f>
        <v>Лузянин</v>
      </c>
      <c r="C506" t="str">
        <f ca="1">IFERROR(__xludf.DUMMYFUNCTION("""COMPUTED_VALUE"""),"Егор")</f>
        <v>Егор</v>
      </c>
      <c r="D506" t="str">
        <f ca="1">IFERROR(__xludf.DUMMYFUNCTION("""COMPUTED_VALUE"""),"Школа 324")</f>
        <v>Школа 324</v>
      </c>
      <c r="E506" s="5"/>
      <c r="F506" s="5"/>
      <c r="G506" s="5"/>
      <c r="H506" s="5"/>
      <c r="I506" s="5"/>
      <c r="J506" s="5"/>
      <c r="K506" s="5"/>
      <c r="L506" s="5"/>
      <c r="M506">
        <f ca="1">IFERROR(__xludf.DUMMYFUNCTION("""COMPUTED_VALUE"""),0)</f>
        <v>0</v>
      </c>
      <c r="N506" s="8"/>
    </row>
    <row r="507" spans="1:14" ht="12.45" hidden="1">
      <c r="A507" t="str">
        <f ca="1">IFERROR(__xludf.DUMMYFUNCTION("""COMPUTED_VALUE"""),"III-3-084")</f>
        <v>III-3-084</v>
      </c>
      <c r="B507" t="str">
        <f ca="1">IFERROR(__xludf.DUMMYFUNCTION("""COMPUTED_VALUE"""),"Вимберг")</f>
        <v>Вимберг</v>
      </c>
      <c r="C507" t="str">
        <f ca="1">IFERROR(__xludf.DUMMYFUNCTION("""COMPUTED_VALUE"""),"Марика")</f>
        <v>Марика</v>
      </c>
      <c r="D507" t="str">
        <f ca="1">IFERROR(__xludf.DUMMYFUNCTION("""COMPUTED_VALUE"""),"Школа 324")</f>
        <v>Школа 324</v>
      </c>
      <c r="E507" s="5"/>
      <c r="F507" s="5"/>
      <c r="G507" s="5"/>
      <c r="H507" s="5"/>
      <c r="I507" s="5"/>
      <c r="J507" s="5"/>
      <c r="K507" s="5"/>
      <c r="L507" s="5"/>
      <c r="M507">
        <f ca="1">IFERROR(__xludf.DUMMYFUNCTION("""COMPUTED_VALUE"""),0)</f>
        <v>0</v>
      </c>
      <c r="N507" s="8"/>
    </row>
    <row r="508" spans="1:14" ht="12.45" hidden="1">
      <c r="A508" t="str">
        <f ca="1">IFERROR(__xludf.DUMMYFUNCTION("""COMPUTED_VALUE"""),"V-3-366")</f>
        <v>V-3-366</v>
      </c>
      <c r="B508" t="str">
        <f ca="1">IFERROR(__xludf.DUMMYFUNCTION("""COMPUTED_VALUE"""),"Никольская")</f>
        <v>Никольская</v>
      </c>
      <c r="C508" t="str">
        <f ca="1">IFERROR(__xludf.DUMMYFUNCTION("""COMPUTED_VALUE"""),"Алиса")</f>
        <v>Алиса</v>
      </c>
      <c r="D508" t="str">
        <f ca="1">IFERROR(__xludf.DUMMYFUNCTION("""COMPUTED_VALUE"""),"Школа 324")</f>
        <v>Школа 324</v>
      </c>
      <c r="E508" s="5"/>
      <c r="F508" s="5"/>
      <c r="G508" s="5"/>
      <c r="H508" s="5"/>
      <c r="I508" s="5"/>
      <c r="J508" s="5"/>
      <c r="K508" s="5"/>
      <c r="L508" s="5"/>
      <c r="M508">
        <f ca="1">IFERROR(__xludf.DUMMYFUNCTION("""COMPUTED_VALUE"""),0)</f>
        <v>0</v>
      </c>
      <c r="N508" s="8"/>
    </row>
    <row r="509" spans="1:14" ht="12.45" hidden="1">
      <c r="A509" t="str">
        <f ca="1">IFERROR(__xludf.DUMMYFUNCTION("""COMPUTED_VALUE"""),"V-3-534")</f>
        <v>V-3-534</v>
      </c>
      <c r="B509" t="str">
        <f ca="1">IFERROR(__xludf.DUMMYFUNCTION("""COMPUTED_VALUE"""),"Улендеева")</f>
        <v>Улендеева</v>
      </c>
      <c r="C509" t="str">
        <f ca="1">IFERROR(__xludf.DUMMYFUNCTION("""COMPUTED_VALUE"""),"Елизавета")</f>
        <v>Елизавета</v>
      </c>
      <c r="D509" t="str">
        <f ca="1">IFERROR(__xludf.DUMMYFUNCTION("""COMPUTED_VALUE"""),"Гимназия 44")</f>
        <v>Гимназия 44</v>
      </c>
      <c r="E509" s="5"/>
      <c r="F509" s="5"/>
      <c r="G509" s="5"/>
      <c r="H509" s="5"/>
      <c r="I509" s="5"/>
      <c r="J509" s="5"/>
      <c r="K509" s="5"/>
      <c r="L509" s="5"/>
      <c r="M509">
        <f ca="1">IFERROR(__xludf.DUMMYFUNCTION("""COMPUTED_VALUE"""),0)</f>
        <v>0</v>
      </c>
      <c r="N509" s="8"/>
    </row>
    <row r="510" spans="1:14" ht="12.45" hidden="1">
      <c r="A510" t="str">
        <f ca="1">IFERROR(__xludf.DUMMYFUNCTION("""COMPUTED_VALUE"""),"III-3-109")</f>
        <v>III-3-109</v>
      </c>
      <c r="B510" t="str">
        <f ca="1">IFERROR(__xludf.DUMMYFUNCTION("""COMPUTED_VALUE"""),"Горбачева")</f>
        <v>Горбачева</v>
      </c>
      <c r="C510" t="str">
        <f ca="1">IFERROR(__xludf.DUMMYFUNCTION("""COMPUTED_VALUE"""),"Таисия")</f>
        <v>Таисия</v>
      </c>
      <c r="D510" t="str">
        <f ca="1">IFERROR(__xludf.DUMMYFUNCTION("""COMPUTED_VALUE"""),"Гимназия 56")</f>
        <v>Гимназия 56</v>
      </c>
      <c r="E510" s="5"/>
      <c r="F510" s="5"/>
      <c r="G510" s="5"/>
      <c r="H510" s="5"/>
      <c r="I510" s="5"/>
      <c r="J510" s="5"/>
      <c r="K510" s="5"/>
      <c r="L510" s="5"/>
      <c r="M510">
        <f ca="1">IFERROR(__xludf.DUMMYFUNCTION("""COMPUTED_VALUE"""),0)</f>
        <v>0</v>
      </c>
      <c r="N510" s="8"/>
    </row>
    <row r="511" spans="1:14" ht="12.45" hidden="1">
      <c r="A511" t="str">
        <f ca="1">IFERROR(__xludf.DUMMYFUNCTION("""COMPUTED_VALUE"""),"V-3-513")</f>
        <v>V-3-513</v>
      </c>
      <c r="B511" t="str">
        <f ca="1">IFERROR(__xludf.DUMMYFUNCTION("""COMPUTED_VALUE"""),"Тарасенко")</f>
        <v>Тарасенко</v>
      </c>
      <c r="C511" t="str">
        <f ca="1">IFERROR(__xludf.DUMMYFUNCTION("""COMPUTED_VALUE"""),"Сергей")</f>
        <v>Сергей</v>
      </c>
      <c r="D511" t="str">
        <f ca="1">IFERROR(__xludf.DUMMYFUNCTION("""COMPUTED_VALUE"""),"Гимназия 56")</f>
        <v>Гимназия 56</v>
      </c>
      <c r="E511" s="5"/>
      <c r="F511" s="5"/>
      <c r="G511" s="5"/>
      <c r="H511" s="5"/>
      <c r="I511" s="5"/>
      <c r="J511" s="5"/>
      <c r="K511" s="5"/>
      <c r="L511" s="5"/>
      <c r="M511">
        <f ca="1">IFERROR(__xludf.DUMMYFUNCTION("""COMPUTED_VALUE"""),0)</f>
        <v>0</v>
      </c>
      <c r="N511" s="8"/>
    </row>
    <row r="512" spans="1:14" ht="12.45" hidden="1">
      <c r="A512" t="str">
        <f ca="1">IFERROR(__xludf.DUMMYFUNCTION("""COMPUTED_VALUE"""),"V-3-542")</f>
        <v>V-3-542</v>
      </c>
      <c r="B512" t="str">
        <f ca="1">IFERROR(__xludf.DUMMYFUNCTION("""COMPUTED_VALUE"""),"Федорова")</f>
        <v>Федорова</v>
      </c>
      <c r="C512" t="str">
        <f ca="1">IFERROR(__xludf.DUMMYFUNCTION("""COMPUTED_VALUE"""),"Яна")</f>
        <v>Яна</v>
      </c>
      <c r="D512" t="str">
        <f ca="1">IFERROR(__xludf.DUMMYFUNCTION("""COMPUTED_VALUE"""),"Школа 571")</f>
        <v>Школа 571</v>
      </c>
      <c r="E512" s="5"/>
      <c r="F512" s="5"/>
      <c r="G512" s="5"/>
      <c r="H512" s="5"/>
      <c r="I512" s="5"/>
      <c r="J512" s="5"/>
      <c r="K512" s="5"/>
      <c r="L512" s="5"/>
      <c r="M512">
        <f ca="1">IFERROR(__xludf.DUMMYFUNCTION("""COMPUTED_VALUE"""),0)</f>
        <v>0</v>
      </c>
      <c r="N512" s="8"/>
    </row>
    <row r="513" spans="1:14" ht="12.45" hidden="1">
      <c r="A513" t="str">
        <f ca="1">IFERROR(__xludf.DUMMYFUNCTION("""COMPUTED_VALUE"""),"III-3-068")</f>
        <v>III-3-068</v>
      </c>
      <c r="B513" t="str">
        <f ca="1">IFERROR(__xludf.DUMMYFUNCTION("""COMPUTED_VALUE"""),"Бынков")</f>
        <v>Бынков</v>
      </c>
      <c r="C513" t="str">
        <f ca="1">IFERROR(__xludf.DUMMYFUNCTION("""COMPUTED_VALUE"""),"Михаил")</f>
        <v>Михаил</v>
      </c>
      <c r="D513" t="str">
        <f ca="1">IFERROR(__xludf.DUMMYFUNCTION("""COMPUTED_VALUE"""),"Школа 481")</f>
        <v>Школа 481</v>
      </c>
      <c r="E513" s="5"/>
      <c r="F513" s="5"/>
      <c r="G513" s="5"/>
      <c r="H513" s="5"/>
      <c r="I513" s="5"/>
      <c r="J513" s="5"/>
      <c r="K513" s="5"/>
      <c r="L513" s="5"/>
      <c r="M513">
        <f ca="1">IFERROR(__xludf.DUMMYFUNCTION("""COMPUTED_VALUE"""),0)</f>
        <v>0</v>
      </c>
      <c r="N513" s="8"/>
    </row>
    <row r="514" spans="1:14" ht="12.45" hidden="1">
      <c r="A514" t="str">
        <f ca="1">IFERROR(__xludf.DUMMYFUNCTION("""COMPUTED_VALUE"""),"V-3-488")</f>
        <v>V-3-488</v>
      </c>
      <c r="B514" t="str">
        <f ca="1">IFERROR(__xludf.DUMMYFUNCTION("""COMPUTED_VALUE"""),"Смирнов")</f>
        <v>Смирнов</v>
      </c>
      <c r="C514" t="str">
        <f ca="1">IFERROR(__xludf.DUMMYFUNCTION("""COMPUTED_VALUE"""),"Константин")</f>
        <v>Константин</v>
      </c>
      <c r="D514" t="str">
        <f ca="1">IFERROR(__xludf.DUMMYFUNCTION("""COMPUTED_VALUE"""),"Школа 113")</f>
        <v>Школа 113</v>
      </c>
      <c r="E514" s="5"/>
      <c r="F514" s="5"/>
      <c r="G514" s="5"/>
      <c r="H514" s="5"/>
      <c r="I514" s="5"/>
      <c r="J514" s="5"/>
      <c r="K514" s="5"/>
      <c r="L514" s="5"/>
      <c r="M514">
        <f ca="1">IFERROR(__xludf.DUMMYFUNCTION("""COMPUTED_VALUE"""),0)</f>
        <v>0</v>
      </c>
      <c r="N514" s="8"/>
    </row>
    <row r="515" spans="1:14" ht="12.45" hidden="1">
      <c r="A515" t="str">
        <f ca="1">IFERROR(__xludf.DUMMYFUNCTION("""COMPUTED_VALUE"""),"III-3-298")</f>
        <v>III-3-298</v>
      </c>
      <c r="B515" t="str">
        <f ca="1">IFERROR(__xludf.DUMMYFUNCTION("""COMPUTED_VALUE"""),"Лоскутов")</f>
        <v>Лоскутов</v>
      </c>
      <c r="C515" t="str">
        <f ca="1">IFERROR(__xludf.DUMMYFUNCTION("""COMPUTED_VALUE"""),"Семён")</f>
        <v>Семён</v>
      </c>
      <c r="D515" t="str">
        <f ca="1">IFERROR(__xludf.DUMMYFUNCTION("""COMPUTED_VALUE"""),"Школа 113")</f>
        <v>Школа 113</v>
      </c>
      <c r="E515" s="5"/>
      <c r="F515" s="5"/>
      <c r="G515" s="5"/>
      <c r="H515" s="5"/>
      <c r="I515" s="5"/>
      <c r="J515" s="5"/>
      <c r="K515" s="5"/>
      <c r="L515" s="5"/>
      <c r="M515">
        <f ca="1">IFERROR(__xludf.DUMMYFUNCTION("""COMPUTED_VALUE"""),0)</f>
        <v>0</v>
      </c>
      <c r="N515" s="8"/>
    </row>
    <row r="516" spans="1:14" ht="12.45" hidden="1">
      <c r="A516" t="str">
        <f ca="1">IFERROR(__xludf.DUMMYFUNCTION("""COMPUTED_VALUE"""),"V-3-351")</f>
        <v>V-3-351</v>
      </c>
      <c r="B516" t="str">
        <f ca="1">IFERROR(__xludf.DUMMYFUNCTION("""COMPUTED_VALUE"""),"Мусихина")</f>
        <v>Мусихина</v>
      </c>
      <c r="C516" t="str">
        <f ca="1">IFERROR(__xludf.DUMMYFUNCTION("""COMPUTED_VALUE"""),"Олеся")</f>
        <v>Олеся</v>
      </c>
      <c r="D516" t="str">
        <f ca="1">IFERROR(__xludf.DUMMYFUNCTION("""COMPUTED_VALUE"""),"Школа 113")</f>
        <v>Школа 113</v>
      </c>
      <c r="E516" s="5"/>
      <c r="F516" s="5"/>
      <c r="G516" s="5"/>
      <c r="H516" s="5"/>
      <c r="I516" s="5"/>
      <c r="J516" s="5"/>
      <c r="K516" s="5"/>
      <c r="L516" s="5"/>
      <c r="M516">
        <f ca="1">IFERROR(__xludf.DUMMYFUNCTION("""COMPUTED_VALUE"""),0)</f>
        <v>0</v>
      </c>
      <c r="N516" s="8"/>
    </row>
    <row r="517" spans="1:14" ht="12.45" hidden="1">
      <c r="A517" t="str">
        <f ca="1">IFERROR(__xludf.DUMMYFUNCTION("""COMPUTED_VALUE"""),"III-3-074")</f>
        <v>III-3-074</v>
      </c>
      <c r="B517" t="str">
        <f ca="1">IFERROR(__xludf.DUMMYFUNCTION("""COMPUTED_VALUE"""),"Васильева")</f>
        <v>Васильева</v>
      </c>
      <c r="C517" t="str">
        <f ca="1">IFERROR(__xludf.DUMMYFUNCTION("""COMPUTED_VALUE"""),"Александра")</f>
        <v>Александра</v>
      </c>
      <c r="D517" t="str">
        <f ca="1">IFERROR(__xludf.DUMMYFUNCTION("""COMPUTED_VALUE"""),"Школа 113")</f>
        <v>Школа 113</v>
      </c>
      <c r="E517" s="5"/>
      <c r="F517" s="5"/>
      <c r="G517" s="5"/>
      <c r="H517" s="5"/>
      <c r="I517" s="5"/>
      <c r="J517" s="5"/>
      <c r="K517" s="5"/>
      <c r="L517" s="5"/>
      <c r="M517">
        <f ca="1">IFERROR(__xludf.DUMMYFUNCTION("""COMPUTED_VALUE"""),0)</f>
        <v>0</v>
      </c>
      <c r="N517" s="8"/>
    </row>
    <row r="518" spans="1:14" ht="12.45" hidden="1">
      <c r="A518" t="str">
        <f ca="1">IFERROR(__xludf.DUMMYFUNCTION("""COMPUTED_VALUE"""),"III-3-048")</f>
        <v>III-3-048</v>
      </c>
      <c r="B518" t="str">
        <f ca="1">IFERROR(__xludf.DUMMYFUNCTION("""COMPUTED_VALUE"""),"Богатов")</f>
        <v>Богатов</v>
      </c>
      <c r="C518" t="str">
        <f ca="1">IFERROR(__xludf.DUMMYFUNCTION("""COMPUTED_VALUE"""),"Дмитрий")</f>
        <v>Дмитрий</v>
      </c>
      <c r="D518" t="str">
        <f ca="1">IFERROR(__xludf.DUMMYFUNCTION("""COMPUTED_VALUE"""),"Школа 106")</f>
        <v>Школа 106</v>
      </c>
      <c r="E518" s="5"/>
      <c r="F518" s="5"/>
      <c r="G518" s="5"/>
      <c r="H518" s="5"/>
      <c r="I518" s="5"/>
      <c r="J518" s="5"/>
      <c r="K518" s="5"/>
      <c r="L518" s="5"/>
      <c r="M518">
        <f ca="1">IFERROR(__xludf.DUMMYFUNCTION("""COMPUTED_VALUE"""),0)</f>
        <v>0</v>
      </c>
      <c r="N518" s="8"/>
    </row>
    <row r="519" spans="1:14" ht="12.45" hidden="1">
      <c r="A519" t="str">
        <f ca="1">IFERROR(__xludf.DUMMYFUNCTION("""COMPUTED_VALUE"""),"III-3-168")</f>
        <v>III-3-168</v>
      </c>
      <c r="B519" t="str">
        <f ca="1">IFERROR(__xludf.DUMMYFUNCTION("""COMPUTED_VALUE"""),"Зыкова")</f>
        <v>Зыкова</v>
      </c>
      <c r="C519" t="str">
        <f ca="1">IFERROR(__xludf.DUMMYFUNCTION("""COMPUTED_VALUE"""),"Алиса")</f>
        <v>Алиса</v>
      </c>
      <c r="D519" t="str">
        <f ca="1">IFERROR(__xludf.DUMMYFUNCTION("""COMPUTED_VALUE"""),"Школа 106")</f>
        <v>Школа 106</v>
      </c>
      <c r="E519" s="5"/>
      <c r="F519" s="5"/>
      <c r="G519" s="5"/>
      <c r="H519" s="5"/>
      <c r="I519" s="5"/>
      <c r="J519" s="5"/>
      <c r="K519" s="5"/>
      <c r="L519" s="5"/>
      <c r="M519">
        <f ca="1">IFERROR(__xludf.DUMMYFUNCTION("""COMPUTED_VALUE"""),0)</f>
        <v>0</v>
      </c>
      <c r="N519" s="8"/>
    </row>
    <row r="520" spans="1:14" ht="12.45" hidden="1">
      <c r="A520" t="str">
        <f ca="1">IFERROR(__xludf.DUMMYFUNCTION("""COMPUTED_VALUE"""),"V-3-417")</f>
        <v>V-3-417</v>
      </c>
      <c r="B520" t="str">
        <f ca="1">IFERROR(__xludf.DUMMYFUNCTION("""COMPUTED_VALUE"""),"Поляков")</f>
        <v>Поляков</v>
      </c>
      <c r="C520" t="str">
        <f ca="1">IFERROR(__xludf.DUMMYFUNCTION("""COMPUTED_VALUE"""),"Новомир")</f>
        <v>Новомир</v>
      </c>
      <c r="D520" t="str">
        <f ca="1">IFERROR(__xludf.DUMMYFUNCTION("""COMPUTED_VALUE"""),"Школа 106")</f>
        <v>Школа 106</v>
      </c>
      <c r="E520" s="5"/>
      <c r="F520" s="5"/>
      <c r="G520" s="5"/>
      <c r="H520" s="5"/>
      <c r="I520" s="5"/>
      <c r="J520" s="5"/>
      <c r="K520" s="5"/>
      <c r="L520" s="5"/>
      <c r="M520">
        <f ca="1">IFERROR(__xludf.DUMMYFUNCTION("""COMPUTED_VALUE"""),0)</f>
        <v>0</v>
      </c>
      <c r="N520" s="8"/>
    </row>
    <row r="521" spans="1:14" ht="12.45" hidden="1">
      <c r="A521" t="str">
        <f ca="1">IFERROR(__xludf.DUMMYFUNCTION("""COMPUTED_VALUE"""),"V-3-420")</f>
        <v>V-3-420</v>
      </c>
      <c r="B521" t="str">
        <f ca="1">IFERROR(__xludf.DUMMYFUNCTION("""COMPUTED_VALUE"""),"Попов")</f>
        <v>Попов</v>
      </c>
      <c r="C521" t="str">
        <f ca="1">IFERROR(__xludf.DUMMYFUNCTION("""COMPUTED_VALUE"""),"Василий")</f>
        <v>Василий</v>
      </c>
      <c r="D521" t="str">
        <f ca="1">IFERROR(__xludf.DUMMYFUNCTION("""COMPUTED_VALUE"""),"Школа 80")</f>
        <v>Школа 80</v>
      </c>
      <c r="E521" s="5"/>
      <c r="F521" s="5"/>
      <c r="G521" s="5"/>
      <c r="H521" s="5"/>
      <c r="I521" s="5"/>
      <c r="J521" s="5"/>
      <c r="K521" s="5"/>
      <c r="L521" s="5"/>
      <c r="M521">
        <f ca="1">IFERROR(__xludf.DUMMYFUNCTION("""COMPUTED_VALUE"""),0)</f>
        <v>0</v>
      </c>
      <c r="N521" s="8"/>
    </row>
    <row r="522" spans="1:14" ht="12.45" hidden="1">
      <c r="A522" t="str">
        <f ca="1">IFERROR(__xludf.DUMMYFUNCTION("""COMPUTED_VALUE"""),"V-3-470")</f>
        <v>V-3-470</v>
      </c>
      <c r="B522" t="str">
        <f ca="1">IFERROR(__xludf.DUMMYFUNCTION("""COMPUTED_VALUE"""),"Сенопальников")</f>
        <v>Сенопальников</v>
      </c>
      <c r="C522" t="str">
        <f ca="1">IFERROR(__xludf.DUMMYFUNCTION("""COMPUTED_VALUE"""),"Юрий")</f>
        <v>Юрий</v>
      </c>
      <c r="D522" t="str">
        <f ca="1">IFERROR(__xludf.DUMMYFUNCTION("""COMPUTED_VALUE"""),"Школа 80")</f>
        <v>Школа 80</v>
      </c>
      <c r="E522" s="5"/>
      <c r="F522" s="5"/>
      <c r="G522" s="5"/>
      <c r="H522" s="5"/>
      <c r="I522" s="5"/>
      <c r="J522" s="5"/>
      <c r="K522" s="5"/>
      <c r="L522" s="5"/>
      <c r="M522">
        <f ca="1">IFERROR(__xludf.DUMMYFUNCTION("""COMPUTED_VALUE"""),0)</f>
        <v>0</v>
      </c>
      <c r="N522" s="8"/>
    </row>
    <row r="523" spans="1:14" ht="12.45" hidden="1">
      <c r="A523" t="str">
        <f ca="1">IFERROR(__xludf.DUMMYFUNCTION("""COMPUTED_VALUE"""),"V-3-471")</f>
        <v>V-3-471</v>
      </c>
      <c r="B523" t="str">
        <f ca="1">IFERROR(__xludf.DUMMYFUNCTION("""COMPUTED_VALUE"""),"Сенопальников")</f>
        <v>Сенопальников</v>
      </c>
      <c r="C523" t="str">
        <f ca="1">IFERROR(__xludf.DUMMYFUNCTION("""COMPUTED_VALUE"""),"Игорь")</f>
        <v>Игорь</v>
      </c>
      <c r="D523" t="str">
        <f ca="1">IFERROR(__xludf.DUMMYFUNCTION("""COMPUTED_VALUE"""),"Школа 80")</f>
        <v>Школа 80</v>
      </c>
      <c r="E523" s="5"/>
      <c r="F523" s="5"/>
      <c r="G523" s="5"/>
      <c r="H523" s="5"/>
      <c r="I523" s="5"/>
      <c r="J523" s="5"/>
      <c r="K523" s="5"/>
      <c r="L523" s="5"/>
      <c r="M523">
        <f ca="1">IFERROR(__xludf.DUMMYFUNCTION("""COMPUTED_VALUE"""),0)</f>
        <v>0</v>
      </c>
      <c r="N523" s="8"/>
    </row>
    <row r="524" spans="1:14" ht="12.45" hidden="1">
      <c r="A524" t="str">
        <f ca="1">IFERROR(__xludf.DUMMYFUNCTION("""COMPUTED_VALUE"""),"V-3-502")</f>
        <v>V-3-502</v>
      </c>
      <c r="B524" t="str">
        <f ca="1">IFERROR(__xludf.DUMMYFUNCTION("""COMPUTED_VALUE"""),"Судаков")</f>
        <v>Судаков</v>
      </c>
      <c r="C524" t="str">
        <f ca="1">IFERROR(__xludf.DUMMYFUNCTION("""COMPUTED_VALUE"""),"Кирилл")</f>
        <v>Кирилл</v>
      </c>
      <c r="D524" t="str">
        <f ca="1">IFERROR(__xludf.DUMMYFUNCTION("""COMPUTED_VALUE"""),"Школа 80")</f>
        <v>Школа 80</v>
      </c>
      <c r="E524" s="5"/>
      <c r="F524" s="5"/>
      <c r="G524" s="5"/>
      <c r="H524" s="5"/>
      <c r="I524" s="5"/>
      <c r="J524" s="5"/>
      <c r="K524" s="5"/>
      <c r="L524" s="5"/>
      <c r="M524">
        <f ca="1">IFERROR(__xludf.DUMMYFUNCTION("""COMPUTED_VALUE"""),0)</f>
        <v>0</v>
      </c>
      <c r="N524" s="8"/>
    </row>
    <row r="525" spans="1:14" ht="12.45" hidden="1">
      <c r="A525" t="str">
        <f ca="1">IFERROR(__xludf.DUMMYFUNCTION("""COMPUTED_VALUE"""),"III-3-164")</f>
        <v>III-3-164</v>
      </c>
      <c r="B525" t="str">
        <f ca="1">IFERROR(__xludf.DUMMYFUNCTION("""COMPUTED_VALUE"""),"Зернова")</f>
        <v>Зернова</v>
      </c>
      <c r="C525" t="str">
        <f ca="1">IFERROR(__xludf.DUMMYFUNCTION("""COMPUTED_VALUE"""),"Екатерина")</f>
        <v>Екатерина</v>
      </c>
      <c r="D525" t="str">
        <f ca="1">IFERROR(__xludf.DUMMYFUNCTION("""COMPUTED_VALUE"""),"Лицей 150")</f>
        <v>Лицей 150</v>
      </c>
      <c r="E525" s="5"/>
      <c r="F525" s="5"/>
      <c r="G525" s="5"/>
      <c r="H525" s="5"/>
      <c r="I525" s="5"/>
      <c r="J525" s="5"/>
      <c r="K525" s="5"/>
      <c r="L525" s="5"/>
      <c r="M525">
        <f ca="1">IFERROR(__xludf.DUMMYFUNCTION("""COMPUTED_VALUE"""),0)</f>
        <v>0</v>
      </c>
      <c r="N525" s="8"/>
    </row>
    <row r="526" spans="1:14" ht="12.45" hidden="1">
      <c r="A526" t="str">
        <f ca="1">IFERROR(__xludf.DUMMYFUNCTION("""COMPUTED_VALUE"""),"V-3-407")</f>
        <v>V-3-407</v>
      </c>
      <c r="B526" t="str">
        <f ca="1">IFERROR(__xludf.DUMMYFUNCTION("""COMPUTED_VALUE"""),"Петешинский")</f>
        <v>Петешинский</v>
      </c>
      <c r="C526" t="str">
        <f ca="1">IFERROR(__xludf.DUMMYFUNCTION("""COMPUTED_VALUE"""),"Евгений")</f>
        <v>Евгений</v>
      </c>
      <c r="D526" t="str">
        <f ca="1">IFERROR(__xludf.DUMMYFUNCTION("""COMPUTED_VALUE"""),"Школа 365")</f>
        <v>Школа 365</v>
      </c>
      <c r="E526" s="5"/>
      <c r="F526" s="5"/>
      <c r="G526" s="5"/>
      <c r="H526" s="5"/>
      <c r="I526" s="5"/>
      <c r="J526" s="5"/>
      <c r="K526" s="5"/>
      <c r="L526" s="5"/>
      <c r="M526">
        <f ca="1">IFERROR(__xludf.DUMMYFUNCTION("""COMPUTED_VALUE"""),0)</f>
        <v>0</v>
      </c>
      <c r="N526" s="8"/>
    </row>
    <row r="527" spans="1:14" ht="12.45" hidden="1">
      <c r="A527" t="str">
        <f ca="1">IFERROR(__xludf.DUMMYFUNCTION("""COMPUTED_VALUE"""),"III-3-234")</f>
        <v>III-3-234</v>
      </c>
      <c r="B527" t="str">
        <f ca="1">IFERROR(__xludf.DUMMYFUNCTION("""COMPUTED_VALUE"""),"Константинова")</f>
        <v>Константинова</v>
      </c>
      <c r="C527" t="str">
        <f ca="1">IFERROR(__xludf.DUMMYFUNCTION("""COMPUTED_VALUE"""),"Софья")</f>
        <v>Софья</v>
      </c>
      <c r="D527" t="str">
        <f ca="1">IFERROR(__xludf.DUMMYFUNCTION("""COMPUTED_VALUE"""),"Гимназия 628")</f>
        <v>Гимназия 628</v>
      </c>
      <c r="E527" s="5"/>
      <c r="F527" s="5"/>
      <c r="G527" s="5"/>
      <c r="H527" s="5"/>
      <c r="I527" s="5"/>
      <c r="J527" s="5"/>
      <c r="K527" s="5"/>
      <c r="L527" s="5"/>
      <c r="M527">
        <f ca="1">IFERROR(__xludf.DUMMYFUNCTION("""COMPUTED_VALUE"""),0)</f>
        <v>0</v>
      </c>
      <c r="N527" s="8"/>
    </row>
    <row r="528" spans="1:14" ht="12.45" hidden="1">
      <c r="A528" t="str">
        <f ca="1">IFERROR(__xludf.DUMMYFUNCTION("""COMPUTED_VALUE"""),"III-3-157")</f>
        <v>III-3-157</v>
      </c>
      <c r="B528" t="str">
        <f ca="1">IFERROR(__xludf.DUMMYFUNCTION("""COMPUTED_VALUE"""),"Запорожец")</f>
        <v>Запорожец</v>
      </c>
      <c r="C528" t="str">
        <f ca="1">IFERROR(__xludf.DUMMYFUNCTION("""COMPUTED_VALUE"""),"Михаил")</f>
        <v>Михаил</v>
      </c>
      <c r="D528" t="str">
        <f ca="1">IFERROR(__xludf.DUMMYFUNCTION("""COMPUTED_VALUE"""),"Гимназия 107")</f>
        <v>Гимназия 107</v>
      </c>
      <c r="E528" s="5"/>
      <c r="F528" s="5"/>
      <c r="G528" s="5"/>
      <c r="H528" s="5"/>
      <c r="I528" s="5"/>
      <c r="J528" s="5"/>
      <c r="K528" s="5"/>
      <c r="L528" s="5"/>
      <c r="M528">
        <f ca="1">IFERROR(__xludf.DUMMYFUNCTION("""COMPUTED_VALUE"""),0)</f>
        <v>0</v>
      </c>
      <c r="N528" s="8"/>
    </row>
    <row r="529" spans="1:14" ht="12.45" hidden="1">
      <c r="A529" t="str">
        <f ca="1">IFERROR(__xludf.DUMMYFUNCTION("""COMPUTED_VALUE"""),"V-3-362")</f>
        <v>V-3-362</v>
      </c>
      <c r="B529" t="str">
        <f ca="1">IFERROR(__xludf.DUMMYFUNCTION("""COMPUTED_VALUE"""),"Немков")</f>
        <v>Немков</v>
      </c>
      <c r="C529" t="str">
        <f ca="1">IFERROR(__xludf.DUMMYFUNCTION("""COMPUTED_VALUE"""),"Егор")</f>
        <v>Егор</v>
      </c>
      <c r="D529" t="str">
        <f ca="1">IFERROR(__xludf.DUMMYFUNCTION("""COMPUTED_VALUE"""),"Гимназия 107")</f>
        <v>Гимназия 107</v>
      </c>
      <c r="E529" s="5"/>
      <c r="F529" s="5"/>
      <c r="G529" s="5"/>
      <c r="H529" s="5"/>
      <c r="I529" s="5"/>
      <c r="J529" s="5"/>
      <c r="K529" s="5"/>
      <c r="L529" s="5"/>
      <c r="M529">
        <f ca="1">IFERROR(__xludf.DUMMYFUNCTION("""COMPUTED_VALUE"""),0)</f>
        <v>0</v>
      </c>
      <c r="N529" s="8"/>
    </row>
    <row r="530" spans="1:14" ht="12.45" hidden="1">
      <c r="A530" t="str">
        <f ca="1">IFERROR(__xludf.DUMMYFUNCTION("""COMPUTED_VALUE"""),"V-3-479")</f>
        <v>V-3-479</v>
      </c>
      <c r="B530" t="str">
        <f ca="1">IFERROR(__xludf.DUMMYFUNCTION("""COMPUTED_VALUE"""),"Симонов")</f>
        <v>Симонов</v>
      </c>
      <c r="C530" t="str">
        <f ca="1">IFERROR(__xludf.DUMMYFUNCTION("""COMPUTED_VALUE"""),"Григорий")</f>
        <v>Григорий</v>
      </c>
      <c r="D530" t="str">
        <f ca="1">IFERROR(__xludf.DUMMYFUNCTION("""COMPUTED_VALUE"""),"Гимназия 49")</f>
        <v>Гимназия 49</v>
      </c>
      <c r="E530" s="5"/>
      <c r="F530" s="5"/>
      <c r="G530" s="5"/>
      <c r="H530" s="5"/>
      <c r="I530" s="5"/>
      <c r="J530" s="5"/>
      <c r="K530" s="5"/>
      <c r="L530" s="5"/>
      <c r="M530">
        <f ca="1">IFERROR(__xludf.DUMMYFUNCTION("""COMPUTED_VALUE"""),0)</f>
        <v>0</v>
      </c>
      <c r="N530" s="8"/>
    </row>
    <row r="531" spans="1:14" ht="12.45" hidden="1">
      <c r="A531" t="str">
        <f ca="1">IFERROR(__xludf.DUMMYFUNCTION("""COMPUTED_VALUE"""),"V-3-539")</f>
        <v>V-3-539</v>
      </c>
      <c r="B531" t="str">
        <f ca="1">IFERROR(__xludf.DUMMYFUNCTION("""COMPUTED_VALUE"""),"Федоров")</f>
        <v>Федоров</v>
      </c>
      <c r="C531" t="str">
        <f ca="1">IFERROR(__xludf.DUMMYFUNCTION("""COMPUTED_VALUE"""),"Александр")</f>
        <v>Александр</v>
      </c>
      <c r="D531" t="str">
        <f ca="1">IFERROR(__xludf.DUMMYFUNCTION("""COMPUTED_VALUE"""),"Лицей 419")</f>
        <v>Лицей 419</v>
      </c>
      <c r="E531" s="5"/>
      <c r="F531" s="5"/>
      <c r="G531" s="5"/>
      <c r="H531" s="5"/>
      <c r="I531" s="5"/>
      <c r="J531" s="5"/>
      <c r="K531" s="5"/>
      <c r="L531" s="5"/>
      <c r="M531">
        <f ca="1">IFERROR(__xludf.DUMMYFUNCTION("""COMPUTED_VALUE"""),0)</f>
        <v>0</v>
      </c>
      <c r="N531" s="8"/>
    </row>
    <row r="532" spans="1:14" ht="12.45" hidden="1">
      <c r="A532" t="str">
        <f ca="1">IFERROR(__xludf.DUMMYFUNCTION("""COMPUTED_VALUE"""),"V-3-306")</f>
        <v>V-3-306</v>
      </c>
      <c r="B532" t="str">
        <f ca="1">IFERROR(__xludf.DUMMYFUNCTION("""COMPUTED_VALUE"""),"Майсюк")</f>
        <v>Майсюк</v>
      </c>
      <c r="C532" t="str">
        <f ca="1">IFERROR(__xludf.DUMMYFUNCTION("""COMPUTED_VALUE"""),"Владислав")</f>
        <v>Владислав</v>
      </c>
      <c r="D532" t="str">
        <f ca="1">IFERROR(__xludf.DUMMYFUNCTION("""COMPUTED_VALUE"""),"Лицей 366")</f>
        <v>Лицей 366</v>
      </c>
      <c r="E532" s="5"/>
      <c r="F532" s="5"/>
      <c r="G532" s="5"/>
      <c r="H532" s="5"/>
      <c r="I532" s="5"/>
      <c r="J532" s="5"/>
      <c r="K532" s="5"/>
      <c r="L532" s="5"/>
      <c r="M532">
        <f ca="1">IFERROR(__xludf.DUMMYFUNCTION("""COMPUTED_VALUE"""),0)</f>
        <v>0</v>
      </c>
      <c r="N532" s="8"/>
    </row>
    <row r="533" spans="1:14" ht="12.45" hidden="1">
      <c r="A533" t="str">
        <f ca="1">IFERROR(__xludf.DUMMYFUNCTION("""COMPUTED_VALUE"""),"III-3-203")</f>
        <v>III-3-203</v>
      </c>
      <c r="B533" t="str">
        <f ca="1">IFERROR(__xludf.DUMMYFUNCTION("""COMPUTED_VALUE"""),"Кафтырева")</f>
        <v>Кафтырева</v>
      </c>
      <c r="C533" t="str">
        <f ca="1">IFERROR(__xludf.DUMMYFUNCTION("""COMPUTED_VALUE"""),"Карина")</f>
        <v>Карина</v>
      </c>
      <c r="D533" t="str">
        <f ca="1">IFERROR(__xludf.DUMMYFUNCTION("""COMPUTED_VALUE"""),"Школа 392")</f>
        <v>Школа 392</v>
      </c>
      <c r="E533" s="5"/>
      <c r="F533" s="5"/>
      <c r="G533" s="5"/>
      <c r="H533" s="5"/>
      <c r="I533" s="5"/>
      <c r="J533" s="5"/>
      <c r="K533" s="5"/>
      <c r="L533" s="5"/>
      <c r="M533">
        <f ca="1">IFERROR(__xludf.DUMMYFUNCTION("""COMPUTED_VALUE"""),0)</f>
        <v>0</v>
      </c>
      <c r="N533" s="8"/>
    </row>
    <row r="534" spans="1:14" ht="12.45" hidden="1">
      <c r="A534" t="str">
        <f ca="1">IFERROR(__xludf.DUMMYFUNCTION("""COMPUTED_VALUE"""),"V-3-503")</f>
        <v>V-3-503</v>
      </c>
      <c r="B534" t="str">
        <f ca="1">IFERROR(__xludf.DUMMYFUNCTION("""COMPUTED_VALUE"""),"Суханин")</f>
        <v>Суханин</v>
      </c>
      <c r="C534" t="str">
        <f ca="1">IFERROR(__xludf.DUMMYFUNCTION("""COMPUTED_VALUE"""),"Иван")</f>
        <v>Иван</v>
      </c>
      <c r="D534" t="str">
        <f ca="1">IFERROR(__xludf.DUMMYFUNCTION("""COMPUTED_VALUE"""),"Школа 471")</f>
        <v>Школа 471</v>
      </c>
      <c r="E534" s="5"/>
      <c r="F534" s="5"/>
      <c r="G534" s="5"/>
      <c r="H534" s="5"/>
      <c r="I534" s="5"/>
      <c r="J534" s="5"/>
      <c r="K534" s="5"/>
      <c r="L534" s="5"/>
      <c r="M534">
        <f ca="1">IFERROR(__xludf.DUMMYFUNCTION("""COMPUTED_VALUE"""),0)</f>
        <v>0</v>
      </c>
      <c r="N534" s="8"/>
    </row>
    <row r="535" spans="1:14" ht="12.45" hidden="1">
      <c r="A535" t="str">
        <f ca="1">IFERROR(__xludf.DUMMYFUNCTION("""COMPUTED_VALUE"""),"V-3-585")</f>
        <v>V-3-585</v>
      </c>
      <c r="B535" t="str">
        <f ca="1">IFERROR(__xludf.DUMMYFUNCTION("""COMPUTED_VALUE"""),"Шубинская")</f>
        <v>Шубинская</v>
      </c>
      <c r="C535" t="str">
        <f ca="1">IFERROR(__xludf.DUMMYFUNCTION("""COMPUTED_VALUE"""),"Арина")</f>
        <v>Арина</v>
      </c>
      <c r="D535" t="str">
        <f ca="1">IFERROR(__xludf.DUMMYFUNCTION("""COMPUTED_VALUE"""),"Гимназия 67")</f>
        <v>Гимназия 67</v>
      </c>
      <c r="E535" s="5"/>
      <c r="F535" s="5"/>
      <c r="G535" s="5"/>
      <c r="H535" s="5"/>
      <c r="I535" s="5"/>
      <c r="J535" s="5"/>
      <c r="K535" s="5"/>
      <c r="L535" s="5"/>
      <c r="M535">
        <f ca="1">IFERROR(__xludf.DUMMYFUNCTION("""COMPUTED_VALUE"""),0)</f>
        <v>0</v>
      </c>
      <c r="N535" s="8"/>
    </row>
    <row r="536" spans="1:14" ht="12.45" hidden="1">
      <c r="A536" t="str">
        <f ca="1">IFERROR(__xludf.DUMMYFUNCTION("""COMPUTED_VALUE"""),"III-3-280")</f>
        <v>III-3-280</v>
      </c>
      <c r="B536" t="str">
        <f ca="1">IFERROR(__xludf.DUMMYFUNCTION("""COMPUTED_VALUE"""),"Ласточкина")</f>
        <v>Ласточкина</v>
      </c>
      <c r="C536" t="str">
        <f ca="1">IFERROR(__xludf.DUMMYFUNCTION("""COMPUTED_VALUE"""),"Стефания")</f>
        <v>Стефания</v>
      </c>
      <c r="D536" t="str">
        <f ca="1">IFERROR(__xludf.DUMMYFUNCTION("""COMPUTED_VALUE"""),"Гимназия 24")</f>
        <v>Гимназия 24</v>
      </c>
      <c r="E536" s="5"/>
      <c r="F536" s="5"/>
      <c r="G536" s="5"/>
      <c r="H536" s="5"/>
      <c r="I536" s="5"/>
      <c r="J536" s="5"/>
      <c r="K536" s="5"/>
      <c r="L536" s="5"/>
      <c r="M536">
        <f ca="1">IFERROR(__xludf.DUMMYFUNCTION("""COMPUTED_VALUE"""),0)</f>
        <v>0</v>
      </c>
      <c r="N536" s="8"/>
    </row>
    <row r="537" spans="1:14" ht="12.45" hidden="1">
      <c r="A537" t="str">
        <f ca="1">IFERROR(__xludf.DUMMYFUNCTION("""COMPUTED_VALUE"""),"V-3-368")</f>
        <v>V-3-368</v>
      </c>
      <c r="B537" t="str">
        <f ca="1">IFERROR(__xludf.DUMMYFUNCTION("""COMPUTED_VALUE"""),"Никоноров")</f>
        <v>Никоноров</v>
      </c>
      <c r="C537" t="str">
        <f ca="1">IFERROR(__xludf.DUMMYFUNCTION("""COMPUTED_VALUE"""),"Роман")</f>
        <v>Роман</v>
      </c>
      <c r="D537" t="str">
        <f ca="1">IFERROR(__xludf.DUMMYFUNCTION("""COMPUTED_VALUE"""),"Школа 269")</f>
        <v>Школа 269</v>
      </c>
      <c r="E537" s="5"/>
      <c r="F537" s="5"/>
      <c r="G537" s="5"/>
      <c r="H537" s="5"/>
      <c r="I537" s="5"/>
      <c r="J537" s="5"/>
      <c r="K537" s="5"/>
      <c r="L537" s="5"/>
      <c r="M537">
        <f ca="1">IFERROR(__xludf.DUMMYFUNCTION("""COMPUTED_VALUE"""),0)</f>
        <v>0</v>
      </c>
      <c r="N537" s="8"/>
    </row>
    <row r="538" spans="1:14" ht="12.45" hidden="1">
      <c r="A538" t="str">
        <f ca="1">IFERROR(__xludf.DUMMYFUNCTION("""COMPUTED_VALUE"""),"V-3-390")</f>
        <v>V-3-390</v>
      </c>
      <c r="B538" t="str">
        <f ca="1">IFERROR(__xludf.DUMMYFUNCTION("""COMPUTED_VALUE"""),"Осокин")</f>
        <v>Осокин</v>
      </c>
      <c r="C538" t="str">
        <f ca="1">IFERROR(__xludf.DUMMYFUNCTION("""COMPUTED_VALUE"""),"Александр")</f>
        <v>Александр</v>
      </c>
      <c r="D538" t="str">
        <f ca="1">IFERROR(__xludf.DUMMYFUNCTION("""COMPUTED_VALUE"""),"Гимназия 56")</f>
        <v>Гимназия 56</v>
      </c>
      <c r="E538" s="5"/>
      <c r="F538" s="5"/>
      <c r="G538" s="5"/>
      <c r="H538" s="5"/>
      <c r="I538" s="5"/>
      <c r="J538" s="5"/>
      <c r="K538" s="5"/>
      <c r="L538" s="5"/>
      <c r="M538">
        <f ca="1">IFERROR(__xludf.DUMMYFUNCTION("""COMPUTED_VALUE"""),0)</f>
        <v>0</v>
      </c>
      <c r="N538" s="8"/>
    </row>
    <row r="539" spans="1:14" ht="12.45" hidden="1">
      <c r="A539" t="str">
        <f ca="1">IFERROR(__xludf.DUMMYFUNCTION("""COMPUTED_VALUE"""),"V-3-402")</f>
        <v>V-3-402</v>
      </c>
      <c r="B539" t="str">
        <f ca="1">IFERROR(__xludf.DUMMYFUNCTION("""COMPUTED_VALUE"""),"Панюгин")</f>
        <v>Панюгин</v>
      </c>
      <c r="C539" t="str">
        <f ca="1">IFERROR(__xludf.DUMMYFUNCTION("""COMPUTED_VALUE"""),"Дмитрий")</f>
        <v>Дмитрий</v>
      </c>
      <c r="D539" t="str">
        <f ca="1">IFERROR(__xludf.DUMMYFUNCTION("""COMPUTED_VALUE"""),"Лицей ИЕГЛ 30")</f>
        <v>Лицей ИЕГЛ 30</v>
      </c>
      <c r="E539" s="5"/>
      <c r="F539" s="5"/>
      <c r="G539" s="5"/>
      <c r="H539" s="5"/>
      <c r="I539" s="5"/>
      <c r="J539" s="5"/>
      <c r="K539" s="5"/>
      <c r="L539" s="5"/>
      <c r="M539">
        <f ca="1">IFERROR(__xludf.DUMMYFUNCTION("""COMPUTED_VALUE"""),0)</f>
        <v>0</v>
      </c>
      <c r="N539" s="8"/>
    </row>
    <row r="540" spans="1:14" ht="12.45" hidden="1">
      <c r="A540" t="str">
        <f ca="1">IFERROR(__xludf.DUMMYFUNCTION("""COMPUTED_VALUE"""),"V-3-576")</f>
        <v>V-3-576</v>
      </c>
      <c r="B540" t="str">
        <f ca="1">IFERROR(__xludf.DUMMYFUNCTION("""COMPUTED_VALUE"""),"Шамшурин")</f>
        <v>Шамшурин</v>
      </c>
      <c r="C540" t="str">
        <f ca="1">IFERROR(__xludf.DUMMYFUNCTION("""COMPUTED_VALUE"""),"Никита")</f>
        <v>Никита</v>
      </c>
      <c r="D540" t="str">
        <f ca="1">IFERROR(__xludf.DUMMYFUNCTION("""COMPUTED_VALUE"""),"Гимназия 56")</f>
        <v>Гимназия 56</v>
      </c>
      <c r="E540" s="5"/>
      <c r="F540" s="5"/>
      <c r="G540" s="5"/>
      <c r="H540" s="5"/>
      <c r="I540" s="5"/>
      <c r="J540" s="5"/>
      <c r="K540" s="5"/>
      <c r="L540" s="5"/>
      <c r="M540">
        <f ca="1">IFERROR(__xludf.DUMMYFUNCTION("""COMPUTED_VALUE"""),0)</f>
        <v>0</v>
      </c>
      <c r="N540" s="8"/>
    </row>
    <row r="541" spans="1:14" ht="12.45" hidden="1">
      <c r="A541" t="str">
        <f ca="1">IFERROR(__xludf.DUMMYFUNCTION("""COMPUTED_VALUE"""),"III-3-041")</f>
        <v>III-3-041</v>
      </c>
      <c r="B541" t="str">
        <f ca="1">IFERROR(__xludf.DUMMYFUNCTION("""COMPUTED_VALUE"""),"Белова")</f>
        <v>Белова</v>
      </c>
      <c r="C541" t="str">
        <f ca="1">IFERROR(__xludf.DUMMYFUNCTION("""COMPUTED_VALUE"""),"Милана")</f>
        <v>Милана</v>
      </c>
      <c r="D541" t="str">
        <f ca="1">IFERROR(__xludf.DUMMYFUNCTION("""COMPUTED_VALUE"""),"Лицей 29")</f>
        <v>Лицей 29</v>
      </c>
      <c r="E541" s="5"/>
      <c r="F541" s="5"/>
      <c r="G541" s="5"/>
      <c r="H541" s="5"/>
      <c r="I541" s="5"/>
      <c r="J541" s="5"/>
      <c r="K541" s="5"/>
      <c r="L541" s="5"/>
      <c r="M541">
        <f ca="1">IFERROR(__xludf.DUMMYFUNCTION("""COMPUTED_VALUE"""),0)</f>
        <v>0</v>
      </c>
      <c r="N541" s="8"/>
    </row>
    <row r="542" spans="1:14" ht="12.45" hidden="1">
      <c r="A542" t="str">
        <f ca="1">IFERROR(__xludf.DUMMYFUNCTION("""COMPUTED_VALUE"""),"III-3-039")</f>
        <v>III-3-039</v>
      </c>
      <c r="B542" t="str">
        <f ca="1">IFERROR(__xludf.DUMMYFUNCTION("""COMPUTED_VALUE"""),"Безруких")</f>
        <v>Безруких</v>
      </c>
      <c r="C542" t="str">
        <f ca="1">IFERROR(__xludf.DUMMYFUNCTION("""COMPUTED_VALUE"""),"Дмитрий")</f>
        <v>Дмитрий</v>
      </c>
      <c r="D542" t="str">
        <f ca="1">IFERROR(__xludf.DUMMYFUNCTION("""COMPUTED_VALUE"""),"Школа 40")</f>
        <v>Школа 40</v>
      </c>
      <c r="E542" s="5"/>
      <c r="F542" s="5"/>
      <c r="G542" s="5"/>
      <c r="H542" s="5"/>
      <c r="I542" s="5"/>
      <c r="J542" s="5"/>
      <c r="K542" s="5"/>
      <c r="L542" s="5"/>
      <c r="M542">
        <f ca="1">IFERROR(__xludf.DUMMYFUNCTION("""COMPUTED_VALUE"""),0)</f>
        <v>0</v>
      </c>
      <c r="N542" s="8"/>
    </row>
    <row r="543" spans="1:14" ht="12.45" hidden="1">
      <c r="A543" t="str">
        <f ca="1">IFERROR(__xludf.DUMMYFUNCTION("""COMPUTED_VALUE"""),"V-3-586")</f>
        <v>V-3-586</v>
      </c>
      <c r="B543" t="str">
        <f ca="1">IFERROR(__xludf.DUMMYFUNCTION("""COMPUTED_VALUE"""),"Щелоков")</f>
        <v>Щелоков</v>
      </c>
      <c r="C543" t="str">
        <f ca="1">IFERROR(__xludf.DUMMYFUNCTION("""COMPUTED_VALUE"""),"Владимир")</f>
        <v>Владимир</v>
      </c>
      <c r="D543" t="str">
        <f ca="1">IFERROR(__xludf.DUMMYFUNCTION("""COMPUTED_VALUE"""),"Школа 532")</f>
        <v>Школа 532</v>
      </c>
      <c r="E543" s="5"/>
      <c r="F543" s="5"/>
      <c r="G543" s="5"/>
      <c r="H543" s="5"/>
      <c r="I543" s="5"/>
      <c r="J543" s="5"/>
      <c r="K543" s="5"/>
      <c r="L543" s="5"/>
      <c r="M543">
        <f ca="1">IFERROR(__xludf.DUMMYFUNCTION("""COMPUTED_VALUE"""),0)</f>
        <v>0</v>
      </c>
      <c r="N543" s="8"/>
    </row>
    <row r="544" spans="1:14" ht="12.45" hidden="1">
      <c r="A544" t="str">
        <f ca="1">IFERROR(__xludf.DUMMYFUNCTION("""COMPUTED_VALUE"""),"III-3-281")</f>
        <v>III-3-281</v>
      </c>
      <c r="B544" t="str">
        <f ca="1">IFERROR(__xludf.DUMMYFUNCTION("""COMPUTED_VALUE"""),"Латынин")</f>
        <v>Латынин</v>
      </c>
      <c r="C544" t="str">
        <f ca="1">IFERROR(__xludf.DUMMYFUNCTION("""COMPUTED_VALUE"""),"Никита")</f>
        <v>Никита</v>
      </c>
      <c r="D544" t="str">
        <f ca="1">IFERROR(__xludf.DUMMYFUNCTION("""COMPUTED_VALUE"""),"Школа 532")</f>
        <v>Школа 532</v>
      </c>
      <c r="E544" s="5"/>
      <c r="F544" s="5"/>
      <c r="G544" s="5"/>
      <c r="H544" s="5"/>
      <c r="I544" s="5"/>
      <c r="J544" s="5"/>
      <c r="K544" s="5"/>
      <c r="L544" s="5"/>
      <c r="M544">
        <f ca="1">IFERROR(__xludf.DUMMYFUNCTION("""COMPUTED_VALUE"""),0)</f>
        <v>0</v>
      </c>
      <c r="N544" s="8"/>
    </row>
    <row r="545" spans="1:14" ht="12.45" hidden="1">
      <c r="A545" t="str">
        <f ca="1">IFERROR(__xludf.DUMMYFUNCTION("""COMPUTED_VALUE"""),"III-3-179")</f>
        <v>III-3-179</v>
      </c>
      <c r="B545" t="str">
        <f ca="1">IFERROR(__xludf.DUMMYFUNCTION("""COMPUTED_VALUE"""),"Ивонин")</f>
        <v>Ивонин</v>
      </c>
      <c r="C545" t="str">
        <f ca="1">IFERROR(__xludf.DUMMYFUNCTION("""COMPUTED_VALUE"""),"Даниил")</f>
        <v>Даниил</v>
      </c>
      <c r="D545" t="str">
        <f ca="1">IFERROR(__xludf.DUMMYFUNCTION("""COMPUTED_VALUE"""),"Школа 532")</f>
        <v>Школа 532</v>
      </c>
      <c r="E545" s="5"/>
      <c r="F545" s="5"/>
      <c r="G545" s="5"/>
      <c r="H545" s="5"/>
      <c r="I545" s="5"/>
      <c r="J545" s="5"/>
      <c r="K545" s="5"/>
      <c r="L545" s="5"/>
      <c r="M545">
        <f ca="1">IFERROR(__xludf.DUMMYFUNCTION("""COMPUTED_VALUE"""),0)</f>
        <v>0</v>
      </c>
      <c r="N545" s="8"/>
    </row>
    <row r="546" spans="1:14" ht="12.45" hidden="1">
      <c r="A546" t="str">
        <f ca="1">IFERROR(__xludf.DUMMYFUNCTION("""COMPUTED_VALUE"""),"III-3-169")</f>
        <v>III-3-169</v>
      </c>
      <c r="B546" t="str">
        <f ca="1">IFERROR(__xludf.DUMMYFUNCTION("""COMPUTED_VALUE"""),"Иванов")</f>
        <v>Иванов</v>
      </c>
      <c r="C546" t="str">
        <f ca="1">IFERROR(__xludf.DUMMYFUNCTION("""COMPUTED_VALUE"""),"Адриан")</f>
        <v>Адриан</v>
      </c>
      <c r="D546" t="str">
        <f ca="1">IFERROR(__xludf.DUMMYFUNCTION("""COMPUTED_VALUE"""),"Лицей 533")</f>
        <v>Лицей 533</v>
      </c>
      <c r="E546" s="5"/>
      <c r="F546" s="5"/>
      <c r="G546" s="5"/>
      <c r="H546" s="5"/>
      <c r="I546" s="5"/>
      <c r="J546" s="5"/>
      <c r="K546" s="5"/>
      <c r="L546" s="5"/>
      <c r="M546">
        <f ca="1">IFERROR(__xludf.DUMMYFUNCTION("""COMPUTED_VALUE"""),0)</f>
        <v>0</v>
      </c>
      <c r="N546" s="8"/>
    </row>
    <row r="547" spans="1:14" ht="12.45" hidden="1">
      <c r="A547" t="str">
        <f ca="1">IFERROR(__xludf.DUMMYFUNCTION("""COMPUTED_VALUE"""),"III-3-268")</f>
        <v>III-3-268</v>
      </c>
      <c r="B547" t="str">
        <f ca="1">IFERROR(__xludf.DUMMYFUNCTION("""COMPUTED_VALUE"""),"Курушкин")</f>
        <v>Курушкин</v>
      </c>
      <c r="C547" t="str">
        <f ca="1">IFERROR(__xludf.DUMMYFUNCTION("""COMPUTED_VALUE"""),"Кирилл")</f>
        <v>Кирилл</v>
      </c>
      <c r="D547" t="str">
        <f ca="1">IFERROR(__xludf.DUMMYFUNCTION("""COMPUTED_VALUE"""),"Школа 169")</f>
        <v>Школа 169</v>
      </c>
      <c r="E547" s="5"/>
      <c r="F547" s="5"/>
      <c r="G547" s="5"/>
      <c r="H547" s="5"/>
      <c r="I547" s="5"/>
      <c r="J547" s="5"/>
      <c r="K547" s="5"/>
      <c r="L547" s="5"/>
      <c r="M547">
        <f ca="1">IFERROR(__xludf.DUMMYFUNCTION("""COMPUTED_VALUE"""),0)</f>
        <v>0</v>
      </c>
      <c r="N547" s="8"/>
    </row>
    <row r="548" spans="1:14" ht="12.45" hidden="1">
      <c r="A548" t="str">
        <f ca="1">IFERROR(__xludf.DUMMYFUNCTION("""COMPUTED_VALUE"""),"V-3-329")</f>
        <v>V-3-329</v>
      </c>
      <c r="B548" t="str">
        <f ca="1">IFERROR(__xludf.DUMMYFUNCTION("""COMPUTED_VALUE"""),"Меркушев")</f>
        <v>Меркушев</v>
      </c>
      <c r="C548" t="str">
        <f ca="1">IFERROR(__xludf.DUMMYFUNCTION("""COMPUTED_VALUE"""),"Михаил")</f>
        <v>Михаил</v>
      </c>
      <c r="D548" t="str">
        <f ca="1">IFERROR(__xludf.DUMMYFUNCTION("""COMPUTED_VALUE"""),"Гимназия N°1 им.Н.М.Пржевальского г.Смоленска")</f>
        <v>Гимназия N°1 им.Н.М.Пржевальского г.Смоленска</v>
      </c>
      <c r="E548" s="5"/>
      <c r="F548" s="5"/>
      <c r="G548" s="5"/>
      <c r="H548" s="5"/>
      <c r="I548" s="5"/>
      <c r="J548" s="5"/>
      <c r="K548" s="5"/>
      <c r="L548" s="5"/>
      <c r="M548">
        <f ca="1">IFERROR(__xludf.DUMMYFUNCTION("""COMPUTED_VALUE"""),0)</f>
        <v>0</v>
      </c>
      <c r="N548" s="8"/>
    </row>
    <row r="549" spans="1:14" ht="12.45" hidden="1">
      <c r="A549" t="str">
        <f ca="1">IFERROR(__xludf.DUMMYFUNCTION("""COMPUTED_VALUE"""),"V-3-594")</f>
        <v>V-3-594</v>
      </c>
      <c r="B549" t="str">
        <f ca="1">IFERROR(__xludf.DUMMYFUNCTION("""COMPUTED_VALUE"""),"Яковлев")</f>
        <v>Яковлев</v>
      </c>
      <c r="C549" t="str">
        <f ca="1">IFERROR(__xludf.DUMMYFUNCTION("""COMPUTED_VALUE"""),"Арсений")</f>
        <v>Арсений</v>
      </c>
      <c r="D549" t="str">
        <f ca="1">IFERROR(__xludf.DUMMYFUNCTION("""COMPUTED_VALUE"""),"Гимназия 1")</f>
        <v>Гимназия 1</v>
      </c>
      <c r="E549" s="5"/>
      <c r="F549" s="5"/>
      <c r="G549" s="5"/>
      <c r="H549" s="5"/>
      <c r="I549" s="5"/>
      <c r="J549" s="5"/>
      <c r="K549" s="5"/>
      <c r="L549" s="5"/>
      <c r="M549">
        <f ca="1">IFERROR(__xludf.DUMMYFUNCTION("""COMPUTED_VALUE"""),0)</f>
        <v>0</v>
      </c>
      <c r="N549" s="8"/>
    </row>
    <row r="550" spans="1:14" ht="12.45" hidden="1">
      <c r="A550" t="str">
        <f ca="1">IFERROR(__xludf.DUMMYFUNCTION("""COMPUTED_VALUE"""),"V-3-555")</f>
        <v>V-3-555</v>
      </c>
      <c r="B550" t="str">
        <f ca="1">IFERROR(__xludf.DUMMYFUNCTION("""COMPUTED_VALUE"""),"Харламова")</f>
        <v>Харламова</v>
      </c>
      <c r="C550" t="str">
        <f ca="1">IFERROR(__xludf.DUMMYFUNCTION("""COMPUTED_VALUE"""),"Виктория")</f>
        <v>Виктория</v>
      </c>
      <c r="D550" t="str">
        <f ca="1">IFERROR(__xludf.DUMMYFUNCTION("""COMPUTED_VALUE"""),"Гимназия 171")</f>
        <v>Гимназия 171</v>
      </c>
      <c r="E550" s="5"/>
      <c r="F550" s="5"/>
      <c r="G550" s="5"/>
      <c r="H550" s="5"/>
      <c r="I550" s="5"/>
      <c r="J550" s="5"/>
      <c r="K550" s="5"/>
      <c r="L550" s="5"/>
      <c r="M550">
        <f ca="1">IFERROR(__xludf.DUMMYFUNCTION("""COMPUTED_VALUE"""),0)</f>
        <v>0</v>
      </c>
      <c r="N550" s="8"/>
    </row>
    <row r="551" spans="1:14" ht="12.45" hidden="1">
      <c r="A551" t="str">
        <f ca="1">IFERROR(__xludf.DUMMYFUNCTION("""COMPUTED_VALUE"""),"V-3-570")</f>
        <v>V-3-570</v>
      </c>
      <c r="B551" t="str">
        <f ca="1">IFERROR(__xludf.DUMMYFUNCTION("""COMPUTED_VALUE"""),"Чистяков")</f>
        <v>Чистяков</v>
      </c>
      <c r="C551" t="str">
        <f ca="1">IFERROR(__xludf.DUMMYFUNCTION("""COMPUTED_VALUE"""),"Тимофей")</f>
        <v>Тимофей</v>
      </c>
      <c r="D551" t="str">
        <f ca="1">IFERROR(__xludf.DUMMYFUNCTION("""COMPUTED_VALUE"""),"Школа 292")</f>
        <v>Школа 292</v>
      </c>
      <c r="E551" s="5"/>
      <c r="F551" s="5"/>
      <c r="G551" s="5"/>
      <c r="H551" s="5"/>
      <c r="I551" s="5"/>
      <c r="J551" s="5"/>
      <c r="K551" s="5"/>
      <c r="L551" s="5"/>
      <c r="M551">
        <f ca="1">IFERROR(__xludf.DUMMYFUNCTION("""COMPUTED_VALUE"""),0)</f>
        <v>0</v>
      </c>
      <c r="N551" s="8"/>
    </row>
    <row r="552" spans="1:14" ht="12.45" hidden="1">
      <c r="A552" t="str">
        <f ca="1">IFERROR(__xludf.DUMMYFUNCTION("""COMPUTED_VALUE"""),"V-3-356")</f>
        <v>V-3-356</v>
      </c>
      <c r="B552" t="str">
        <f ca="1">IFERROR(__xludf.DUMMYFUNCTION("""COMPUTED_VALUE"""),"Мясоедов")</f>
        <v>Мясоедов</v>
      </c>
      <c r="C552" t="str">
        <f ca="1">IFERROR(__xludf.DUMMYFUNCTION("""COMPUTED_VALUE"""),"Тимофей")</f>
        <v>Тимофей</v>
      </c>
      <c r="D552" t="str">
        <f ca="1">IFERROR(__xludf.DUMMYFUNCTION("""COMPUTED_VALUE"""),"Школа 270")</f>
        <v>Школа 270</v>
      </c>
      <c r="E552" s="5"/>
      <c r="F552" s="5"/>
      <c r="G552" s="5"/>
      <c r="H552" s="5"/>
      <c r="I552" s="5"/>
      <c r="J552" s="5"/>
      <c r="K552" s="5"/>
      <c r="L552" s="5"/>
      <c r="M552">
        <f ca="1">IFERROR(__xludf.DUMMYFUNCTION("""COMPUTED_VALUE"""),0)</f>
        <v>0</v>
      </c>
      <c r="N552" s="8"/>
    </row>
    <row r="553" spans="1:14" ht="12.45" hidden="1">
      <c r="A553" t="str">
        <f ca="1">IFERROR(__xludf.DUMMYFUNCTION("""COMPUTED_VALUE"""),"V-3-472")</f>
        <v>V-3-472</v>
      </c>
      <c r="B553" t="str">
        <f ca="1">IFERROR(__xludf.DUMMYFUNCTION("""COMPUTED_VALUE"""),"Сергель")</f>
        <v>Сергель</v>
      </c>
      <c r="C553" t="str">
        <f ca="1">IFERROR(__xludf.DUMMYFUNCTION("""COMPUTED_VALUE"""),"Тимур")</f>
        <v>Тимур</v>
      </c>
      <c r="D553" t="str">
        <f ca="1">IFERROR(__xludf.DUMMYFUNCTION("""COMPUTED_VALUE"""),"Школа 516")</f>
        <v>Школа 516</v>
      </c>
      <c r="E553" s="5"/>
      <c r="F553" s="5"/>
      <c r="G553" s="5"/>
      <c r="H553" s="5"/>
      <c r="I553" s="5"/>
      <c r="J553" s="5"/>
      <c r="K553" s="5"/>
      <c r="L553" s="5"/>
      <c r="M553">
        <f ca="1">IFERROR(__xludf.DUMMYFUNCTION("""COMPUTED_VALUE"""),0)</f>
        <v>0</v>
      </c>
      <c r="N553" s="8"/>
    </row>
    <row r="554" spans="1:14" ht="12.45" hidden="1">
      <c r="A554" t="str">
        <f ca="1">IFERROR(__xludf.DUMMYFUNCTION("""COMPUTED_VALUE"""),"V-3-335")</f>
        <v>V-3-335</v>
      </c>
      <c r="B554" t="str">
        <f ca="1">IFERROR(__xludf.DUMMYFUNCTION("""COMPUTED_VALUE"""),"Митрофанова")</f>
        <v>Митрофанова</v>
      </c>
      <c r="C554" t="str">
        <f ca="1">IFERROR(__xludf.DUMMYFUNCTION("""COMPUTED_VALUE"""),"Златаслава")</f>
        <v>Златаслава</v>
      </c>
      <c r="D554" t="str">
        <f ca="1">IFERROR(__xludf.DUMMYFUNCTION("""COMPUTED_VALUE"""),"Школа 516")</f>
        <v>Школа 516</v>
      </c>
      <c r="E554" s="5"/>
      <c r="F554" s="5"/>
      <c r="G554" s="5"/>
      <c r="H554" s="5"/>
      <c r="I554" s="5"/>
      <c r="J554" s="5"/>
      <c r="K554" s="5"/>
      <c r="L554" s="5"/>
      <c r="M554">
        <f ca="1">IFERROR(__xludf.DUMMYFUNCTION("""COMPUTED_VALUE"""),0)</f>
        <v>0</v>
      </c>
      <c r="N554" s="8"/>
    </row>
    <row r="555" spans="1:14" ht="12.45" hidden="1">
      <c r="A555" t="str">
        <f ca="1">IFERROR(__xludf.DUMMYFUNCTION("""COMPUTED_VALUE"""),"V-3-382")</f>
        <v>V-3-382</v>
      </c>
      <c r="B555" t="str">
        <f ca="1">IFERROR(__xludf.DUMMYFUNCTION("""COMPUTED_VALUE"""),"ОГАНОВА")</f>
        <v>ОГАНОВА</v>
      </c>
      <c r="C555" t="str">
        <f ca="1">IFERROR(__xludf.DUMMYFUNCTION("""COMPUTED_VALUE"""),"ДИАНА")</f>
        <v>ДИАНА</v>
      </c>
      <c r="D555" t="str">
        <f ca="1">IFERROR(__xludf.DUMMYFUNCTION("""COMPUTED_VALUE"""),"Школа 516")</f>
        <v>Школа 516</v>
      </c>
      <c r="E555" s="5"/>
      <c r="F555" s="5"/>
      <c r="G555" s="5"/>
      <c r="H555" s="5"/>
      <c r="I555" s="5"/>
      <c r="J555" s="5"/>
      <c r="K555" s="5"/>
      <c r="L555" s="5"/>
      <c r="M555">
        <f ca="1">IFERROR(__xludf.DUMMYFUNCTION("""COMPUTED_VALUE"""),0)</f>
        <v>0</v>
      </c>
      <c r="N555" s="8"/>
    </row>
    <row r="556" spans="1:14" ht="12.45" hidden="1">
      <c r="A556" t="str">
        <f ca="1">IFERROR(__xludf.DUMMYFUNCTION("""COMPUTED_VALUE"""),"V-3-452")</f>
        <v>V-3-452</v>
      </c>
      <c r="B556" t="str">
        <f ca="1">IFERROR(__xludf.DUMMYFUNCTION("""COMPUTED_VALUE"""),"Рыжова")</f>
        <v>Рыжова</v>
      </c>
      <c r="C556" t="str">
        <f ca="1">IFERROR(__xludf.DUMMYFUNCTION("""COMPUTED_VALUE"""),"Анна")</f>
        <v>Анна</v>
      </c>
      <c r="D556" t="str">
        <f ca="1">IFERROR(__xludf.DUMMYFUNCTION("""COMPUTED_VALUE"""),"Школа 29")</f>
        <v>Школа 29</v>
      </c>
      <c r="E556" s="5"/>
      <c r="F556" s="5"/>
      <c r="G556" s="5"/>
      <c r="H556" s="5"/>
      <c r="I556" s="5"/>
      <c r="J556" s="5"/>
      <c r="K556" s="5"/>
      <c r="L556" s="5"/>
      <c r="M556">
        <f ca="1">IFERROR(__xludf.DUMMYFUNCTION("""COMPUTED_VALUE"""),0)</f>
        <v>0</v>
      </c>
      <c r="N556" s="8"/>
    </row>
    <row r="557" spans="1:14" ht="12.45" hidden="1">
      <c r="A557" t="str">
        <f ca="1">IFERROR(__xludf.DUMMYFUNCTION("""COMPUTED_VALUE"""),"V-3-406")</f>
        <v>V-3-406</v>
      </c>
      <c r="B557" t="str">
        <f ca="1">IFERROR(__xludf.DUMMYFUNCTION("""COMPUTED_VALUE"""),"Першакова")</f>
        <v>Першакова</v>
      </c>
      <c r="C557" t="str">
        <f ca="1">IFERROR(__xludf.DUMMYFUNCTION("""COMPUTED_VALUE"""),"Мария")</f>
        <v>Мария</v>
      </c>
      <c r="D557" t="str">
        <f ca="1">IFERROR(__xludf.DUMMYFUNCTION("""COMPUTED_VALUE"""),"Школа 29")</f>
        <v>Школа 29</v>
      </c>
      <c r="E557" s="5"/>
      <c r="F557" s="5"/>
      <c r="G557" s="5"/>
      <c r="H557" s="5"/>
      <c r="I557" s="5"/>
      <c r="J557" s="5"/>
      <c r="K557" s="5"/>
      <c r="L557" s="5"/>
      <c r="M557">
        <f ca="1">IFERROR(__xludf.DUMMYFUNCTION("""COMPUTED_VALUE"""),0)</f>
        <v>0</v>
      </c>
      <c r="N557" s="8"/>
    </row>
    <row r="558" spans="1:14" ht="12.45" hidden="1">
      <c r="A558" t="str">
        <f ca="1">IFERROR(__xludf.DUMMYFUNCTION("""COMPUTED_VALUE"""),"III-3-205")</f>
        <v>III-3-205</v>
      </c>
      <c r="B558" t="str">
        <f ca="1">IFERROR(__xludf.DUMMYFUNCTION("""COMPUTED_VALUE"""),"Кашуба")</f>
        <v>Кашуба</v>
      </c>
      <c r="C558" t="str">
        <f ca="1">IFERROR(__xludf.DUMMYFUNCTION("""COMPUTED_VALUE"""),"Сергей")</f>
        <v>Сергей</v>
      </c>
      <c r="D558" t="str">
        <f ca="1">IFERROR(__xludf.DUMMYFUNCTION("""COMPUTED_VALUE"""),"Школа 29")</f>
        <v>Школа 29</v>
      </c>
      <c r="E558" s="5"/>
      <c r="F558" s="5"/>
      <c r="G558" s="5"/>
      <c r="H558" s="5"/>
      <c r="I558" s="5"/>
      <c r="J558" s="5"/>
      <c r="K558" s="5"/>
      <c r="L558" s="5"/>
      <c r="M558">
        <f ca="1">IFERROR(__xludf.DUMMYFUNCTION("""COMPUTED_VALUE"""),0)</f>
        <v>0</v>
      </c>
      <c r="N558" s="8"/>
    </row>
    <row r="559" spans="1:14" ht="12.45" hidden="1">
      <c r="A559" t="str">
        <f ca="1">IFERROR(__xludf.DUMMYFUNCTION("""COMPUTED_VALUE"""),"V-3-363")</f>
        <v>V-3-363</v>
      </c>
      <c r="B559" t="str">
        <f ca="1">IFERROR(__xludf.DUMMYFUNCTION("""COMPUTED_VALUE"""),"Немчинова")</f>
        <v>Немчинова</v>
      </c>
      <c r="C559" t="str">
        <f ca="1">IFERROR(__xludf.DUMMYFUNCTION("""COMPUTED_VALUE"""),"Александра")</f>
        <v>Александра</v>
      </c>
      <c r="D559" t="str">
        <f ca="1">IFERROR(__xludf.DUMMYFUNCTION("""COMPUTED_VALUE"""),"Лицей 410")</f>
        <v>Лицей 410</v>
      </c>
      <c r="E559" s="5"/>
      <c r="F559" s="5"/>
      <c r="G559" s="5"/>
      <c r="H559" s="5"/>
      <c r="I559" s="5"/>
      <c r="J559" s="5"/>
      <c r="K559" s="5"/>
      <c r="L559" s="5"/>
      <c r="M559">
        <f ca="1">IFERROR(__xludf.DUMMYFUNCTION("""COMPUTED_VALUE"""),0)</f>
        <v>0</v>
      </c>
      <c r="N559" s="8"/>
    </row>
    <row r="560" spans="1:14" ht="12.45" hidden="1">
      <c r="A560" t="str">
        <f ca="1">IFERROR(__xludf.DUMMYFUNCTION("""COMPUTED_VALUE"""),"III-3-201")</f>
        <v>III-3-201</v>
      </c>
      <c r="B560" t="str">
        <f ca="1">IFERROR(__xludf.DUMMYFUNCTION("""COMPUTED_VALUE"""),"Касьянов")</f>
        <v>Касьянов</v>
      </c>
      <c r="C560" t="str">
        <f ca="1">IFERROR(__xludf.DUMMYFUNCTION("""COMPUTED_VALUE"""),"Павел")</f>
        <v>Павел</v>
      </c>
      <c r="D560" t="str">
        <f ca="1">IFERROR(__xludf.DUMMYFUNCTION("""COMPUTED_VALUE"""),"Гимназия 157 имени принцессы Ольденбургской")</f>
        <v>Гимназия 157 имени принцессы Ольденбургской</v>
      </c>
      <c r="E560" s="5"/>
      <c r="F560" s="5"/>
      <c r="G560" s="5"/>
      <c r="H560" s="5"/>
      <c r="I560" s="5"/>
      <c r="J560" s="5"/>
      <c r="K560" s="5"/>
      <c r="L560" s="5"/>
      <c r="M560">
        <f ca="1">IFERROR(__xludf.DUMMYFUNCTION("""COMPUTED_VALUE"""),0)</f>
        <v>0</v>
      </c>
      <c r="N560" s="8"/>
    </row>
    <row r="561" spans="1:14" ht="12.45" hidden="1">
      <c r="A561" t="str">
        <f ca="1">IFERROR(__xludf.DUMMYFUNCTION("""COMPUTED_VALUE"""),"V-3-454")</f>
        <v>V-3-454</v>
      </c>
      <c r="B561" t="str">
        <f ca="1">IFERROR(__xludf.DUMMYFUNCTION("""COMPUTED_VALUE"""),"Савина")</f>
        <v>Савина</v>
      </c>
      <c r="C561" t="str">
        <f ca="1">IFERROR(__xludf.DUMMYFUNCTION("""COMPUTED_VALUE"""),"Кира")</f>
        <v>Кира</v>
      </c>
      <c r="D561" t="str">
        <f ca="1">IFERROR(__xludf.DUMMYFUNCTION("""COMPUTED_VALUE"""),"Гимназия 157")</f>
        <v>Гимназия 157</v>
      </c>
      <c r="E561" s="5"/>
      <c r="F561" s="5"/>
      <c r="G561" s="5"/>
      <c r="H561" s="5"/>
      <c r="I561" s="5"/>
      <c r="J561" s="5"/>
      <c r="K561" s="5"/>
      <c r="L561" s="5"/>
      <c r="M561">
        <f ca="1">IFERROR(__xludf.DUMMYFUNCTION("""COMPUTED_VALUE"""),0)</f>
        <v>0</v>
      </c>
      <c r="N561" s="8"/>
    </row>
    <row r="562" spans="1:14" ht="12.45" hidden="1">
      <c r="A562" t="str">
        <f ca="1">IFERROR(__xludf.DUMMYFUNCTION("""COMPUTED_VALUE"""),"V-3-580")</f>
        <v>V-3-580</v>
      </c>
      <c r="B562" t="str">
        <f ca="1">IFERROR(__xludf.DUMMYFUNCTION("""COMPUTED_VALUE"""),"Шахвердова")</f>
        <v>Шахвердова</v>
      </c>
      <c r="C562" t="str">
        <f ca="1">IFERROR(__xludf.DUMMYFUNCTION("""COMPUTED_VALUE"""),"София")</f>
        <v>София</v>
      </c>
      <c r="D562" t="str">
        <f ca="1">IFERROR(__xludf.DUMMYFUNCTION("""COMPUTED_VALUE"""),"Гимназия 278")</f>
        <v>Гимназия 278</v>
      </c>
      <c r="E562" s="5"/>
      <c r="F562" s="5"/>
      <c r="G562" s="5"/>
      <c r="H562" s="5"/>
      <c r="I562" s="5"/>
      <c r="J562" s="5"/>
      <c r="K562" s="5"/>
      <c r="L562" s="5"/>
      <c r="M562">
        <f ca="1">IFERROR(__xludf.DUMMYFUNCTION("""COMPUTED_VALUE"""),0)</f>
        <v>0</v>
      </c>
      <c r="N562" s="8"/>
    </row>
    <row r="563" spans="1:14" ht="12.45" hidden="1">
      <c r="A563" t="str">
        <f ca="1">IFERROR(__xludf.DUMMYFUNCTION("""COMPUTED_VALUE"""),"V-3-410")</f>
        <v>V-3-410</v>
      </c>
      <c r="B563" t="str">
        <f ca="1">IFERROR(__xludf.DUMMYFUNCTION("""COMPUTED_VALUE"""),"Петров")</f>
        <v>Петров</v>
      </c>
      <c r="C563" t="str">
        <f ca="1">IFERROR(__xludf.DUMMYFUNCTION("""COMPUTED_VALUE"""),"Денис")</f>
        <v>Денис</v>
      </c>
      <c r="D563" t="str">
        <f ca="1">IFERROR(__xludf.DUMMYFUNCTION("""COMPUTED_VALUE"""),"Гимназия 49")</f>
        <v>Гимназия 49</v>
      </c>
      <c r="E563" s="5"/>
      <c r="F563" s="5"/>
      <c r="G563" s="5"/>
      <c r="H563" s="5"/>
      <c r="I563" s="5"/>
      <c r="J563" s="5"/>
      <c r="K563" s="5"/>
      <c r="L563" s="5"/>
      <c r="M563">
        <f ca="1">IFERROR(__xludf.DUMMYFUNCTION("""COMPUTED_VALUE"""),0)</f>
        <v>0</v>
      </c>
      <c r="N563" s="8"/>
    </row>
    <row r="564" spans="1:14" ht="12.45" hidden="1">
      <c r="A564" t="str">
        <f ca="1">IFERROR(__xludf.DUMMYFUNCTION("""COMPUTED_VALUE"""),"III-3-050")</f>
        <v>III-3-050</v>
      </c>
      <c r="B564" t="str">
        <f ca="1">IFERROR(__xludf.DUMMYFUNCTION("""COMPUTED_VALUE"""),"Богданова")</f>
        <v>Богданова</v>
      </c>
      <c r="C564" t="str">
        <f ca="1">IFERROR(__xludf.DUMMYFUNCTION("""COMPUTED_VALUE"""),"Валентина")</f>
        <v>Валентина</v>
      </c>
      <c r="D564" t="str">
        <f ca="1">IFERROR(__xludf.DUMMYFUNCTION("""COMPUTED_VALUE"""),"Гимназия 49")</f>
        <v>Гимназия 49</v>
      </c>
      <c r="E564" s="5"/>
      <c r="F564" s="5"/>
      <c r="G564" s="5"/>
      <c r="H564" s="5"/>
      <c r="I564" s="5"/>
      <c r="J564" s="5"/>
      <c r="K564" s="5"/>
      <c r="L564" s="5"/>
      <c r="M564">
        <f ca="1">IFERROR(__xludf.DUMMYFUNCTION("""COMPUTED_VALUE"""),0)</f>
        <v>0</v>
      </c>
      <c r="N564" s="8"/>
    </row>
    <row r="565" spans="1:14" ht="12.45" hidden="1">
      <c r="A565" t="str">
        <f ca="1">IFERROR(__xludf.DUMMYFUNCTION("""COMPUTED_VALUE"""),"V-3-457")</f>
        <v>V-3-457</v>
      </c>
      <c r="B565" t="str">
        <f ca="1">IFERROR(__xludf.DUMMYFUNCTION("""COMPUTED_VALUE"""),"Салтыков")</f>
        <v>Салтыков</v>
      </c>
      <c r="C565" t="str">
        <f ca="1">IFERROR(__xludf.DUMMYFUNCTION("""COMPUTED_VALUE"""),"Владимир")</f>
        <v>Владимир</v>
      </c>
      <c r="D565" t="str">
        <f ca="1">IFERROR(__xludf.DUMMYFUNCTION("""COMPUTED_VALUE"""),"Гимназия 49")</f>
        <v>Гимназия 49</v>
      </c>
      <c r="E565" s="5"/>
      <c r="F565" s="5"/>
      <c r="G565" s="5"/>
      <c r="H565" s="5"/>
      <c r="I565" s="5"/>
      <c r="J565" s="5"/>
      <c r="K565" s="5"/>
      <c r="L565" s="5"/>
      <c r="M565">
        <f ca="1">IFERROR(__xludf.DUMMYFUNCTION("""COMPUTED_VALUE"""),0)</f>
        <v>0</v>
      </c>
      <c r="N565" s="8"/>
    </row>
    <row r="566" spans="1:14" ht="12.45" hidden="1">
      <c r="A566" t="str">
        <f ca="1">IFERROR(__xludf.DUMMYFUNCTION("""COMPUTED_VALUE"""),"III-3-102")</f>
        <v>III-3-102</v>
      </c>
      <c r="B566" t="str">
        <f ca="1">IFERROR(__xludf.DUMMYFUNCTION("""COMPUTED_VALUE"""),"Генихович")</f>
        <v>Генихович</v>
      </c>
      <c r="C566" t="str">
        <f ca="1">IFERROR(__xludf.DUMMYFUNCTION("""COMPUTED_VALUE"""),"Валерия")</f>
        <v>Валерия</v>
      </c>
      <c r="D566" t="str">
        <f ca="1">IFERROR(__xludf.DUMMYFUNCTION("""COMPUTED_VALUE"""),"Лицей 150")</f>
        <v>Лицей 150</v>
      </c>
      <c r="E566" s="5"/>
      <c r="F566" s="5"/>
      <c r="G566" s="5"/>
      <c r="H566" s="5"/>
      <c r="I566" s="5"/>
      <c r="J566" s="5"/>
      <c r="K566" s="5"/>
      <c r="L566" s="5"/>
      <c r="M566">
        <f ca="1">IFERROR(__xludf.DUMMYFUNCTION("""COMPUTED_VALUE"""),0)</f>
        <v>0</v>
      </c>
      <c r="N566" s="8"/>
    </row>
    <row r="567" spans="1:14" ht="12.45" hidden="1">
      <c r="A567" t="str">
        <f ca="1">IFERROR(__xludf.DUMMYFUNCTION("""COMPUTED_VALUE"""),"III-3-200")</f>
        <v>III-3-200</v>
      </c>
      <c r="B567" t="str">
        <f ca="1">IFERROR(__xludf.DUMMYFUNCTION("""COMPUTED_VALUE"""),"Карпенко")</f>
        <v>Карпенко</v>
      </c>
      <c r="C567" t="str">
        <f ca="1">IFERROR(__xludf.DUMMYFUNCTION("""COMPUTED_VALUE"""),"Арсений")</f>
        <v>Арсений</v>
      </c>
      <c r="D567" t="str">
        <f ca="1">IFERROR(__xludf.DUMMYFUNCTION("""COMPUTED_VALUE"""),"Лицей 150")</f>
        <v>Лицей 150</v>
      </c>
      <c r="E567" s="5"/>
      <c r="F567" s="5"/>
      <c r="G567" s="5"/>
      <c r="H567" s="5"/>
      <c r="I567" s="5"/>
      <c r="J567" s="5"/>
      <c r="K567" s="5"/>
      <c r="L567" s="5"/>
      <c r="M567">
        <f ca="1">IFERROR(__xludf.DUMMYFUNCTION("""COMPUTED_VALUE"""),0)</f>
        <v>0</v>
      </c>
      <c r="N567" s="8"/>
    </row>
    <row r="568" spans="1:14" ht="12.45" hidden="1">
      <c r="A568" t="str">
        <f ca="1">IFERROR(__xludf.DUMMYFUNCTION("""COMPUTED_VALUE"""),"III-3-152")</f>
        <v>III-3-152</v>
      </c>
      <c r="B568" t="str">
        <f ca="1">IFERROR(__xludf.DUMMYFUNCTION("""COMPUTED_VALUE"""),"Жук")</f>
        <v>Жук</v>
      </c>
      <c r="C568" t="str">
        <f ca="1">IFERROR(__xludf.DUMMYFUNCTION("""COMPUTED_VALUE"""),"Матвей")</f>
        <v>Матвей</v>
      </c>
      <c r="D568" t="str">
        <f ca="1">IFERROR(__xludf.DUMMYFUNCTION("""COMPUTED_VALUE"""),"Лицей 150")</f>
        <v>Лицей 150</v>
      </c>
      <c r="E568" s="5"/>
      <c r="F568" s="5"/>
      <c r="G568" s="5"/>
      <c r="H568" s="5"/>
      <c r="I568" s="5"/>
      <c r="J568" s="5"/>
      <c r="K568" s="5"/>
      <c r="L568" s="5"/>
      <c r="M568">
        <f ca="1">IFERROR(__xludf.DUMMYFUNCTION("""COMPUTED_VALUE"""),0)</f>
        <v>0</v>
      </c>
      <c r="N568" s="8"/>
    </row>
    <row r="569" spans="1:14" ht="12.45" hidden="1">
      <c r="A569" t="str">
        <f ca="1">IFERROR(__xludf.DUMMYFUNCTION("""COMPUTED_VALUE"""),"III-3-083")</f>
        <v>III-3-083</v>
      </c>
      <c r="B569" t="str">
        <f ca="1">IFERROR(__xludf.DUMMYFUNCTION("""COMPUTED_VALUE"""),"Викторов")</f>
        <v>Викторов</v>
      </c>
      <c r="C569" t="str">
        <f ca="1">IFERROR(__xludf.DUMMYFUNCTION("""COMPUTED_VALUE"""),"Виталий")</f>
        <v>Виталий</v>
      </c>
      <c r="D569" t="str">
        <f ca="1">IFERROR(__xludf.DUMMYFUNCTION("""COMPUTED_VALUE"""),"Лицей 150")</f>
        <v>Лицей 150</v>
      </c>
      <c r="E569" s="5"/>
      <c r="F569" s="5"/>
      <c r="G569" s="5"/>
      <c r="H569" s="5"/>
      <c r="I569" s="5"/>
      <c r="J569" s="5"/>
      <c r="K569" s="5"/>
      <c r="L569" s="5"/>
      <c r="M569">
        <f ca="1">IFERROR(__xludf.DUMMYFUNCTION("""COMPUTED_VALUE"""),0)</f>
        <v>0</v>
      </c>
      <c r="N569" s="8"/>
    </row>
    <row r="570" spans="1:14" ht="12.45" hidden="1">
      <c r="A570" t="str">
        <f ca="1">IFERROR(__xludf.DUMMYFUNCTION("""COMPUTED_VALUE"""),"V-3-591")</f>
        <v>V-3-591</v>
      </c>
      <c r="B570" t="str">
        <f ca="1">IFERROR(__xludf.DUMMYFUNCTION("""COMPUTED_VALUE"""),"Юфанов-Мишин")</f>
        <v>Юфанов-Мишин</v>
      </c>
      <c r="C570" t="str">
        <f ca="1">IFERROR(__xludf.DUMMYFUNCTION("""COMPUTED_VALUE"""),"Матвей")</f>
        <v>Матвей</v>
      </c>
      <c r="D570" t="str">
        <f ca="1">IFERROR(__xludf.DUMMYFUNCTION("""COMPUTED_VALUE"""),"Лицей 150")</f>
        <v>Лицей 150</v>
      </c>
      <c r="E570" s="5"/>
      <c r="F570" s="5"/>
      <c r="G570" s="5"/>
      <c r="H570" s="5"/>
      <c r="I570" s="5"/>
      <c r="J570" s="5"/>
      <c r="K570" s="5"/>
      <c r="L570" s="5"/>
      <c r="M570">
        <f ca="1">IFERROR(__xludf.DUMMYFUNCTION("""COMPUTED_VALUE"""),0)</f>
        <v>0</v>
      </c>
      <c r="N570" s="8"/>
    </row>
    <row r="571" spans="1:14" ht="12.45" hidden="1">
      <c r="A571" t="str">
        <f ca="1">IFERROR(__xludf.DUMMYFUNCTION("""COMPUTED_VALUE"""),"III-3-062")</f>
        <v>III-3-062</v>
      </c>
      <c r="B571" t="str">
        <f ca="1">IFERROR(__xludf.DUMMYFUNCTION("""COMPUTED_VALUE"""),"Булаич")</f>
        <v>Булаич</v>
      </c>
      <c r="C571" t="str">
        <f ca="1">IFERROR(__xludf.DUMMYFUNCTION("""COMPUTED_VALUE"""),"Мария")</f>
        <v>Мария</v>
      </c>
      <c r="D571" t="str">
        <f ca="1">IFERROR(__xludf.DUMMYFUNCTION("""COMPUTED_VALUE"""),"Лицей 150")</f>
        <v>Лицей 150</v>
      </c>
      <c r="E571" s="5"/>
      <c r="F571" s="5"/>
      <c r="G571" s="5"/>
      <c r="H571" s="5"/>
      <c r="I571" s="5"/>
      <c r="J571" s="5"/>
      <c r="K571" s="5"/>
      <c r="L571" s="5"/>
      <c r="M571">
        <f ca="1">IFERROR(__xludf.DUMMYFUNCTION("""COMPUTED_VALUE"""),0)</f>
        <v>0</v>
      </c>
      <c r="N571" s="8"/>
    </row>
    <row r="572" spans="1:14" ht="12.45" hidden="1">
      <c r="A572" t="str">
        <f ca="1">IFERROR(__xludf.DUMMYFUNCTION("""COMPUTED_VALUE"""),"III-3-136")</f>
        <v>III-3-136</v>
      </c>
      <c r="B572" t="str">
        <f ca="1">IFERROR(__xludf.DUMMYFUNCTION("""COMPUTED_VALUE"""),"Думина")</f>
        <v>Думина</v>
      </c>
      <c r="C572" t="str">
        <f ca="1">IFERROR(__xludf.DUMMYFUNCTION("""COMPUTED_VALUE"""),"Алёна")</f>
        <v>Алёна</v>
      </c>
      <c r="D572" t="str">
        <f ca="1">IFERROR(__xludf.DUMMYFUNCTION("""COMPUTED_VALUE"""),"Гимназия 397")</f>
        <v>Гимназия 397</v>
      </c>
      <c r="E572" s="5"/>
      <c r="F572" s="5"/>
      <c r="G572" s="5"/>
      <c r="H572" s="5"/>
      <c r="I572" s="5"/>
      <c r="J572" s="5"/>
      <c r="K572" s="5"/>
      <c r="L572" s="5"/>
      <c r="M572">
        <f ca="1">IFERROR(__xludf.DUMMYFUNCTION("""COMPUTED_VALUE"""),0)</f>
        <v>0</v>
      </c>
      <c r="N572" s="8"/>
    </row>
    <row r="573" spans="1:14" ht="12.45" hidden="1">
      <c r="A573" t="str">
        <f ca="1">IFERROR(__xludf.DUMMYFUNCTION("""COMPUTED_VALUE"""),"V-3-310")</f>
        <v>V-3-310</v>
      </c>
      <c r="B573" t="str">
        <f ca="1">IFERROR(__xludf.DUMMYFUNCTION("""COMPUTED_VALUE"""),"Макеев")</f>
        <v>Макеев</v>
      </c>
      <c r="C573" t="str">
        <f ca="1">IFERROR(__xludf.DUMMYFUNCTION("""COMPUTED_VALUE"""),"Даниил")</f>
        <v>Даниил</v>
      </c>
      <c r="D573" t="str">
        <f ca="1">IFERROR(__xludf.DUMMYFUNCTION("""COMPUTED_VALUE"""),"Гимназия 397")</f>
        <v>Гимназия 397</v>
      </c>
      <c r="E573" s="5"/>
      <c r="F573" s="5"/>
      <c r="G573" s="5"/>
      <c r="H573" s="5"/>
      <c r="I573" s="5"/>
      <c r="J573" s="5"/>
      <c r="K573" s="5"/>
      <c r="L573" s="5"/>
      <c r="M573">
        <f ca="1">IFERROR(__xludf.DUMMYFUNCTION("""COMPUTED_VALUE"""),0)</f>
        <v>0</v>
      </c>
      <c r="N573" s="8"/>
    </row>
    <row r="574" spans="1:14" ht="12.45" hidden="1">
      <c r="A574" t="str">
        <f ca="1">IFERROR(__xludf.DUMMYFUNCTION("""COMPUTED_VALUE"""),"V-3-552")</f>
        <v>V-3-552</v>
      </c>
      <c r="B574" t="str">
        <f ca="1">IFERROR(__xludf.DUMMYFUNCTION("""COMPUTED_VALUE"""),"Ханжин")</f>
        <v>Ханжин</v>
      </c>
      <c r="C574" t="str">
        <f ca="1">IFERROR(__xludf.DUMMYFUNCTION("""COMPUTED_VALUE"""),"Александр")</f>
        <v>Александр</v>
      </c>
      <c r="D574" t="str">
        <f ca="1">IFERROR(__xludf.DUMMYFUNCTION("""COMPUTED_VALUE"""),"Гимназия 397")</f>
        <v>Гимназия 397</v>
      </c>
      <c r="E574" s="5"/>
      <c r="F574" s="5"/>
      <c r="G574" s="5"/>
      <c r="H574" s="5"/>
      <c r="I574" s="5"/>
      <c r="J574" s="5"/>
      <c r="K574" s="5"/>
      <c r="L574" s="5"/>
      <c r="M574">
        <f ca="1">IFERROR(__xludf.DUMMYFUNCTION("""COMPUTED_VALUE"""),0)</f>
        <v>0</v>
      </c>
      <c r="N574" s="8"/>
    </row>
    <row r="575" spans="1:14" ht="12.45" hidden="1">
      <c r="A575" t="str">
        <f ca="1">IFERROR(__xludf.DUMMYFUNCTION("""COMPUTED_VALUE"""),"III-3-147")</f>
        <v>III-3-147</v>
      </c>
      <c r="B575" t="str">
        <f ca="1">IFERROR(__xludf.DUMMYFUNCTION("""COMPUTED_VALUE"""),"Жаринова")</f>
        <v>Жаринова</v>
      </c>
      <c r="C575" t="str">
        <f ca="1">IFERROR(__xludf.DUMMYFUNCTION("""COMPUTED_VALUE"""),"София")</f>
        <v>София</v>
      </c>
      <c r="D575" t="str">
        <f ca="1">IFERROR(__xludf.DUMMYFUNCTION("""COMPUTED_VALUE"""),"Гимназия 397")</f>
        <v>Гимназия 397</v>
      </c>
      <c r="E575" s="5"/>
      <c r="F575" s="5"/>
      <c r="G575" s="5"/>
      <c r="H575" s="5"/>
      <c r="I575" s="5"/>
      <c r="J575" s="5"/>
      <c r="K575" s="5"/>
      <c r="L575" s="5"/>
      <c r="M575">
        <f ca="1">IFERROR(__xludf.DUMMYFUNCTION("""COMPUTED_VALUE"""),0)</f>
        <v>0</v>
      </c>
      <c r="N575" s="8"/>
    </row>
    <row r="576" spans="1:14" ht="12.45" hidden="1">
      <c r="A576" t="str">
        <f ca="1">IFERROR(__xludf.DUMMYFUNCTION("""COMPUTED_VALUE"""),"III-3-271")</f>
        <v>III-3-271</v>
      </c>
      <c r="B576" t="str">
        <f ca="1">IFERROR(__xludf.DUMMYFUNCTION("""COMPUTED_VALUE"""),"Куцая")</f>
        <v>Куцая</v>
      </c>
      <c r="C576" t="str">
        <f ca="1">IFERROR(__xludf.DUMMYFUNCTION("""COMPUTED_VALUE"""),"Мария")</f>
        <v>Мария</v>
      </c>
      <c r="D576" t="str">
        <f ca="1">IFERROR(__xludf.DUMMYFUNCTION("""COMPUTED_VALUE"""),"Гимназия 397")</f>
        <v>Гимназия 397</v>
      </c>
      <c r="E576" s="5"/>
      <c r="F576" s="5"/>
      <c r="G576" s="5"/>
      <c r="H576" s="5"/>
      <c r="I576" s="5"/>
      <c r="J576" s="5"/>
      <c r="K576" s="5"/>
      <c r="L576" s="5"/>
      <c r="M576">
        <f ca="1">IFERROR(__xludf.DUMMYFUNCTION("""COMPUTED_VALUE"""),0)</f>
        <v>0</v>
      </c>
      <c r="N576" s="8"/>
    </row>
    <row r="577" spans="1:14" ht="12.45" hidden="1">
      <c r="A577" t="str">
        <f ca="1">IFERROR(__xludf.DUMMYFUNCTION("""COMPUTED_VALUE"""),"V-3-504")</f>
        <v>V-3-504</v>
      </c>
      <c r="B577" t="str">
        <f ca="1">IFERROR(__xludf.DUMMYFUNCTION("""COMPUTED_VALUE"""),"Сухарев")</f>
        <v>Сухарев</v>
      </c>
      <c r="C577" t="str">
        <f ca="1">IFERROR(__xludf.DUMMYFUNCTION("""COMPUTED_VALUE"""),"Максимилиан")</f>
        <v>Максимилиан</v>
      </c>
      <c r="D577" t="str">
        <f ca="1">IFERROR(__xludf.DUMMYFUNCTION("""COMPUTED_VALUE"""),"Гимназия 397")</f>
        <v>Гимназия 397</v>
      </c>
      <c r="E577" s="5"/>
      <c r="F577" s="5"/>
      <c r="G577" s="5"/>
      <c r="H577" s="5"/>
      <c r="I577" s="5"/>
      <c r="J577" s="5"/>
      <c r="K577" s="5"/>
      <c r="L577" s="5"/>
      <c r="M577">
        <f ca="1">IFERROR(__xludf.DUMMYFUNCTION("""COMPUTED_VALUE"""),0)</f>
        <v>0</v>
      </c>
      <c r="N577" s="8"/>
    </row>
    <row r="578" spans="1:14" ht="12.45" hidden="1">
      <c r="A578" t="str">
        <f ca="1">IFERROR(__xludf.DUMMYFUNCTION("""COMPUTED_VALUE"""),"III-3-228")</f>
        <v>III-3-228</v>
      </c>
      <c r="B578" t="str">
        <f ca="1">IFERROR(__xludf.DUMMYFUNCTION("""COMPUTED_VALUE"""),"Комулайнен")</f>
        <v>Комулайнен</v>
      </c>
      <c r="C578" t="str">
        <f ca="1">IFERROR(__xludf.DUMMYFUNCTION("""COMPUTED_VALUE"""),"Алиса")</f>
        <v>Алиса</v>
      </c>
      <c r="D578" t="str">
        <f ca="1">IFERROR(__xludf.DUMMYFUNCTION("""COMPUTED_VALUE"""),"Гимназия 397")</f>
        <v>Гимназия 397</v>
      </c>
      <c r="E578" s="5"/>
      <c r="F578" s="5"/>
      <c r="G578" s="5"/>
      <c r="H578" s="5"/>
      <c r="I578" s="5"/>
      <c r="J578" s="5"/>
      <c r="K578" s="5"/>
      <c r="L578" s="5"/>
      <c r="M578">
        <f ca="1">IFERROR(__xludf.DUMMYFUNCTION("""COMPUTED_VALUE"""),0)</f>
        <v>0</v>
      </c>
      <c r="N578" s="8"/>
    </row>
    <row r="579" spans="1:14" ht="12.45" hidden="1">
      <c r="A579" t="str">
        <f ca="1">IFERROR(__xludf.DUMMYFUNCTION("""COMPUTED_VALUE"""),"V-3-551")</f>
        <v>V-3-551</v>
      </c>
      <c r="B579" t="str">
        <f ca="1">IFERROR(__xludf.DUMMYFUNCTION("""COMPUTED_VALUE"""),"Хавтаси")</f>
        <v>Хавтаси</v>
      </c>
      <c r="C579" t="str">
        <f ca="1">IFERROR(__xludf.DUMMYFUNCTION("""COMPUTED_VALUE"""),"Михаил")</f>
        <v>Михаил</v>
      </c>
      <c r="D579" t="str">
        <f ca="1">IFERROR(__xludf.DUMMYFUNCTION("""COMPUTED_VALUE"""),"Гимназия 397")</f>
        <v>Гимназия 397</v>
      </c>
      <c r="E579" s="5"/>
      <c r="F579" s="5"/>
      <c r="G579" s="5"/>
      <c r="H579" s="5"/>
      <c r="I579" s="5"/>
      <c r="J579" s="5"/>
      <c r="K579" s="5"/>
      <c r="L579" s="5"/>
      <c r="M579">
        <f ca="1">IFERROR(__xludf.DUMMYFUNCTION("""COMPUTED_VALUE"""),0)</f>
        <v>0</v>
      </c>
      <c r="N579" s="8"/>
    </row>
    <row r="580" spans="1:14" ht="12.45" hidden="1">
      <c r="A580" t="str">
        <f ca="1">IFERROR(__xludf.DUMMYFUNCTION("""COMPUTED_VALUE"""),"V-3-301")</f>
        <v>V-3-301</v>
      </c>
      <c r="B580" t="str">
        <f ca="1">IFERROR(__xludf.DUMMYFUNCTION("""COMPUTED_VALUE"""),"Лукащук")</f>
        <v>Лукащук</v>
      </c>
      <c r="C580" t="str">
        <f ca="1">IFERROR(__xludf.DUMMYFUNCTION("""COMPUTED_VALUE"""),"Дарья")</f>
        <v>Дарья</v>
      </c>
      <c r="D580" t="str">
        <f ca="1">IFERROR(__xludf.DUMMYFUNCTION("""COMPUTED_VALUE"""),"Гимназия 343")</f>
        <v>Гимназия 343</v>
      </c>
      <c r="E580" s="5"/>
      <c r="F580" s="5"/>
      <c r="G580" s="5"/>
      <c r="H580" s="5"/>
      <c r="I580" s="5"/>
      <c r="J580" s="5"/>
      <c r="K580" s="5"/>
      <c r="L580" s="5"/>
      <c r="M580">
        <f ca="1">IFERROR(__xludf.DUMMYFUNCTION("""COMPUTED_VALUE"""),0)</f>
        <v>0</v>
      </c>
      <c r="N580" s="8"/>
    </row>
    <row r="581" spans="1:14" ht="12.45" hidden="1">
      <c r="A581" t="str">
        <f ca="1">IFERROR(__xludf.DUMMYFUNCTION("""COMPUTED_VALUE"""),"III-3-006")</f>
        <v>III-3-006</v>
      </c>
      <c r="B581" t="str">
        <f ca="1">IFERROR(__xludf.DUMMYFUNCTION("""COMPUTED_VALUE"""),"Адамова")</f>
        <v>Адамова</v>
      </c>
      <c r="C581" t="str">
        <f ca="1">IFERROR(__xludf.DUMMYFUNCTION("""COMPUTED_VALUE"""),"Любовь")</f>
        <v>Любовь</v>
      </c>
      <c r="D581" t="str">
        <f ca="1">IFERROR(__xludf.DUMMYFUNCTION("""COMPUTED_VALUE"""),"Школа Теремок+")</f>
        <v>Школа Теремок+</v>
      </c>
      <c r="E581" s="5"/>
      <c r="F581" s="5"/>
      <c r="G581" s="5"/>
      <c r="H581" s="5"/>
      <c r="I581" s="5"/>
      <c r="J581" s="5"/>
      <c r="K581" s="5"/>
      <c r="L581" s="5"/>
      <c r="M581">
        <f ca="1">IFERROR(__xludf.DUMMYFUNCTION("""COMPUTED_VALUE"""),0)</f>
        <v>0</v>
      </c>
      <c r="N581" s="8"/>
    </row>
    <row r="582" spans="1:14" ht="12.45" hidden="1">
      <c r="A582" t="str">
        <f ca="1">IFERROR(__xludf.DUMMYFUNCTION("""COMPUTED_VALUE"""),"III-3-265")</f>
        <v>III-3-265</v>
      </c>
      <c r="B582" t="str">
        <f ca="1">IFERROR(__xludf.DUMMYFUNCTION("""COMPUTED_VALUE"""),"Кульков")</f>
        <v>Кульков</v>
      </c>
      <c r="C582" t="str">
        <f ca="1">IFERROR(__xludf.DUMMYFUNCTION("""COMPUTED_VALUE"""),"Евгений")</f>
        <v>Евгений</v>
      </c>
      <c r="D582" t="str">
        <f ca="1">IFERROR(__xludf.DUMMYFUNCTION("""COMPUTED_VALUE"""),"Школа Теремок+")</f>
        <v>Школа Теремок+</v>
      </c>
      <c r="E582" s="5"/>
      <c r="F582" s="5"/>
      <c r="G582" s="5"/>
      <c r="H582" s="5"/>
      <c r="I582" s="5"/>
      <c r="J582" s="5"/>
      <c r="K582" s="5"/>
      <c r="L582" s="5"/>
      <c r="M582">
        <f ca="1">IFERROR(__xludf.DUMMYFUNCTION("""COMPUTED_VALUE"""),0)</f>
        <v>0</v>
      </c>
      <c r="N582" s="8"/>
    </row>
    <row r="583" spans="1:14" ht="12.45" hidden="1">
      <c r="A583" t="str">
        <f ca="1">IFERROR(__xludf.DUMMYFUNCTION("""COMPUTED_VALUE"""),"V-3-338")</f>
        <v>V-3-338</v>
      </c>
      <c r="B583" t="str">
        <f ca="1">IFERROR(__xludf.DUMMYFUNCTION("""COMPUTED_VALUE"""),"Мовчан")</f>
        <v>Мовчан</v>
      </c>
      <c r="C583" t="str">
        <f ca="1">IFERROR(__xludf.DUMMYFUNCTION("""COMPUTED_VALUE"""),"Владимир")</f>
        <v>Владимир</v>
      </c>
      <c r="D583" t="str">
        <f ca="1">IFERROR(__xludf.DUMMYFUNCTION("""COMPUTED_VALUE"""),"Школа Теремок+")</f>
        <v>Школа Теремок+</v>
      </c>
      <c r="E583" s="5"/>
      <c r="F583" s="5"/>
      <c r="G583" s="5"/>
      <c r="H583" s="5"/>
      <c r="I583" s="5"/>
      <c r="J583" s="5"/>
      <c r="K583" s="5"/>
      <c r="L583" s="5"/>
      <c r="M583">
        <f ca="1">IFERROR(__xludf.DUMMYFUNCTION("""COMPUTED_VALUE"""),0)</f>
        <v>0</v>
      </c>
      <c r="N583" s="8"/>
    </row>
    <row r="584" spans="1:14" ht="12.45" hidden="1">
      <c r="A584" t="str">
        <f ca="1">IFERROR(__xludf.DUMMYFUNCTION("""COMPUTED_VALUE"""),"V-3-373")</f>
        <v>V-3-373</v>
      </c>
      <c r="B584" t="str">
        <f ca="1">IFERROR(__xludf.DUMMYFUNCTION("""COMPUTED_VALUE"""),"Новичкова")</f>
        <v>Новичкова</v>
      </c>
      <c r="C584" t="str">
        <f ca="1">IFERROR(__xludf.DUMMYFUNCTION("""COMPUTED_VALUE"""),"Мария")</f>
        <v>Мария</v>
      </c>
      <c r="D584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584" s="5"/>
      <c r="F584" s="5"/>
      <c r="G584" s="5"/>
      <c r="H584" s="5"/>
      <c r="I584" s="5"/>
      <c r="J584" s="5"/>
      <c r="K584" s="5"/>
      <c r="L584" s="5"/>
      <c r="M584">
        <f ca="1">IFERROR(__xludf.DUMMYFUNCTION("""COMPUTED_VALUE"""),0)</f>
        <v>0</v>
      </c>
      <c r="N584" s="8"/>
    </row>
    <row r="585" spans="1:14" ht="12.45" hidden="1">
      <c r="A585" t="str">
        <f ca="1">IFERROR(__xludf.DUMMYFUNCTION("""COMPUTED_VALUE"""),"V-3-463")</f>
        <v>V-3-463</v>
      </c>
      <c r="B585" t="str">
        <f ca="1">IFERROR(__xludf.DUMMYFUNCTION("""COMPUTED_VALUE"""),"Сафин")</f>
        <v>Сафин</v>
      </c>
      <c r="C585" t="str">
        <f ca="1">IFERROR(__xludf.DUMMYFUNCTION("""COMPUTED_VALUE"""),"Денис")</f>
        <v>Денис</v>
      </c>
      <c r="D585" t="str">
        <f ca="1">IFERROR(__xludf.DUMMYFUNCTION("""COMPUTED_VALUE"""),"Лицей Паскаль лицей")</f>
        <v>Лицей Паскаль лицей</v>
      </c>
      <c r="E585" s="5"/>
      <c r="F585" s="5"/>
      <c r="G585" s="5"/>
      <c r="H585" s="5"/>
      <c r="I585" s="5"/>
      <c r="J585" s="5"/>
      <c r="K585" s="5"/>
      <c r="L585" s="5"/>
      <c r="M585">
        <f ca="1">IFERROR(__xludf.DUMMYFUNCTION("""COMPUTED_VALUE"""),0)</f>
        <v>0</v>
      </c>
      <c r="N585" s="8"/>
    </row>
    <row r="586" spans="1:14" ht="12.45" hidden="1">
      <c r="A586" t="str">
        <f ca="1">IFERROR(__xludf.DUMMYFUNCTION("""COMPUTED_VALUE"""),"V-3-418")</f>
        <v>V-3-418</v>
      </c>
      <c r="B586" t="str">
        <f ca="1">IFERROR(__xludf.DUMMYFUNCTION("""COMPUTED_VALUE"""),"Поляков")</f>
        <v>Поляков</v>
      </c>
      <c r="C586" t="str">
        <f ca="1">IFERROR(__xludf.DUMMYFUNCTION("""COMPUTED_VALUE"""),"Денис")</f>
        <v>Денис</v>
      </c>
      <c r="D586" t="str">
        <f ca="1">IFERROR(__xludf.DUMMYFUNCTION("""COMPUTED_VALUE"""),"Школа 358")</f>
        <v>Школа 358</v>
      </c>
      <c r="E586" s="5"/>
      <c r="F586" s="5"/>
      <c r="G586" s="5"/>
      <c r="H586" s="5"/>
      <c r="I586" s="5"/>
      <c r="J586" s="5"/>
      <c r="K586" s="5"/>
      <c r="L586" s="5"/>
      <c r="M586">
        <f ca="1">IFERROR(__xludf.DUMMYFUNCTION("""COMPUTED_VALUE"""),0)</f>
        <v>0</v>
      </c>
      <c r="N586" s="8"/>
    </row>
    <row r="587" spans="1:14" ht="12.45" hidden="1">
      <c r="A587" t="str">
        <f ca="1">IFERROR(__xludf.DUMMYFUNCTION("""COMPUTED_VALUE"""),"III-3-118")</f>
        <v>III-3-118</v>
      </c>
      <c r="B587" t="str">
        <f ca="1">IFERROR(__xludf.DUMMYFUNCTION("""COMPUTED_VALUE"""),"Гудошникова")</f>
        <v>Гудошникова</v>
      </c>
      <c r="C587" t="str">
        <f ca="1">IFERROR(__xludf.DUMMYFUNCTION("""COMPUTED_VALUE"""),"Дарья")</f>
        <v>Дарья</v>
      </c>
      <c r="D587" t="str">
        <f ca="1">IFERROR(__xludf.DUMMYFUNCTION("""COMPUTED_VALUE"""),"Школа 358")</f>
        <v>Школа 358</v>
      </c>
      <c r="E587" s="5"/>
      <c r="F587" s="5"/>
      <c r="G587" s="5"/>
      <c r="H587" s="5"/>
      <c r="I587" s="5"/>
      <c r="J587" s="5"/>
      <c r="K587" s="5"/>
      <c r="L587" s="5"/>
      <c r="M587">
        <f ca="1">IFERROR(__xludf.DUMMYFUNCTION("""COMPUTED_VALUE"""),0)</f>
        <v>0</v>
      </c>
      <c r="N587" s="8"/>
    </row>
    <row r="588" spans="1:14" ht="12.45" hidden="1">
      <c r="A588" t="str">
        <f ca="1">IFERROR(__xludf.DUMMYFUNCTION("""COMPUTED_VALUE"""),"V-3-416")</f>
        <v>V-3-416</v>
      </c>
      <c r="B588" t="str">
        <f ca="1">IFERROR(__xludf.DUMMYFUNCTION("""COMPUTED_VALUE"""),"Полилов")</f>
        <v>Полилов</v>
      </c>
      <c r="C588" t="str">
        <f ca="1">IFERROR(__xludf.DUMMYFUNCTION("""COMPUTED_VALUE"""),"Глеб")</f>
        <v>Глеб</v>
      </c>
      <c r="D588" t="str">
        <f ca="1">IFERROR(__xludf.DUMMYFUNCTION("""COMPUTED_VALUE"""),"Школа 354")</f>
        <v>Школа 354</v>
      </c>
      <c r="E588" s="5"/>
      <c r="F588" s="5"/>
      <c r="G588" s="5"/>
      <c r="H588" s="5"/>
      <c r="I588" s="5"/>
      <c r="J588" s="5"/>
      <c r="K588" s="5"/>
      <c r="L588" s="5"/>
      <c r="M588">
        <f ca="1">IFERROR(__xludf.DUMMYFUNCTION("""COMPUTED_VALUE"""),0)</f>
        <v>0</v>
      </c>
      <c r="N588" s="8"/>
    </row>
    <row r="589" spans="1:14" ht="12.45" hidden="1">
      <c r="A589" t="str">
        <f ca="1">IFERROR(__xludf.DUMMYFUNCTION("""COMPUTED_VALUE"""),"V-3-339")</f>
        <v>V-3-339</v>
      </c>
      <c r="B589" t="str">
        <f ca="1">IFERROR(__xludf.DUMMYFUNCTION("""COMPUTED_VALUE"""),"Могучева")</f>
        <v>Могучева</v>
      </c>
      <c r="C589" t="str">
        <f ca="1">IFERROR(__xludf.DUMMYFUNCTION("""COMPUTED_VALUE"""),"Анастасия")</f>
        <v>Анастасия</v>
      </c>
      <c r="D589" t="str">
        <f ca="1">IFERROR(__xludf.DUMMYFUNCTION("""COMPUTED_VALUE"""),"Школа 328")</f>
        <v>Школа 328</v>
      </c>
      <c r="E589" s="5"/>
      <c r="F589" s="5"/>
      <c r="G589" s="5"/>
      <c r="H589" s="5"/>
      <c r="I589" s="5"/>
      <c r="J589" s="5"/>
      <c r="K589" s="5"/>
      <c r="L589" s="5"/>
      <c r="M589">
        <f ca="1">IFERROR(__xludf.DUMMYFUNCTION("""COMPUTED_VALUE"""),0)</f>
        <v>0</v>
      </c>
      <c r="N589" s="8"/>
    </row>
    <row r="590" spans="1:14" ht="12.45" hidden="1">
      <c r="A590" t="str">
        <f ca="1">IFERROR(__xludf.DUMMYFUNCTION("""COMPUTED_VALUE"""),"III-3-140")</f>
        <v>III-3-140</v>
      </c>
      <c r="B590" t="str">
        <f ca="1">IFERROR(__xludf.DUMMYFUNCTION("""COMPUTED_VALUE"""),"Емельянов")</f>
        <v>Емельянов</v>
      </c>
      <c r="C590" t="str">
        <f ca="1">IFERROR(__xludf.DUMMYFUNCTION("""COMPUTED_VALUE"""),"Данил")</f>
        <v>Данил</v>
      </c>
      <c r="D590" t="str">
        <f ca="1">IFERROR(__xludf.DUMMYFUNCTION("""COMPUTED_VALUE"""),"Школа 471")</f>
        <v>Школа 471</v>
      </c>
      <c r="E590" s="5"/>
      <c r="F590" s="5"/>
      <c r="G590" s="5"/>
      <c r="H590" s="5"/>
      <c r="I590" s="5"/>
      <c r="J590" s="5"/>
      <c r="K590" s="5"/>
      <c r="L590" s="5"/>
      <c r="M590">
        <f ca="1">IFERROR(__xludf.DUMMYFUNCTION("""COMPUTED_VALUE"""),0)</f>
        <v>0</v>
      </c>
      <c r="N590" s="8"/>
    </row>
    <row r="591" spans="1:14" ht="12.45" hidden="1">
      <c r="A591" t="str">
        <f ca="1">IFERROR(__xludf.DUMMYFUNCTION("""COMPUTED_VALUE"""),"III-3-283")</f>
        <v>III-3-283</v>
      </c>
      <c r="B591" t="str">
        <f ca="1">IFERROR(__xludf.DUMMYFUNCTION("""COMPUTED_VALUE"""),"Лахманова")</f>
        <v>Лахманова</v>
      </c>
      <c r="C591" t="str">
        <f ca="1">IFERROR(__xludf.DUMMYFUNCTION("""COMPUTED_VALUE"""),"Елизавета")</f>
        <v>Елизавета</v>
      </c>
      <c r="D591" t="str">
        <f ca="1">IFERROR(__xludf.DUMMYFUNCTION("""COMPUTED_VALUE"""),"Школа 471")</f>
        <v>Школа 471</v>
      </c>
      <c r="E591" s="5"/>
      <c r="F591" s="5"/>
      <c r="G591" s="5"/>
      <c r="H591" s="5"/>
      <c r="I591" s="5"/>
      <c r="J591" s="5"/>
      <c r="K591" s="5"/>
      <c r="L591" s="5"/>
      <c r="M591">
        <f ca="1">IFERROR(__xludf.DUMMYFUNCTION("""COMPUTED_VALUE"""),0)</f>
        <v>0</v>
      </c>
      <c r="N591" s="8"/>
    </row>
    <row r="592" spans="1:14" ht="12.45" hidden="1">
      <c r="A592" t="str">
        <f ca="1">IFERROR(__xludf.DUMMYFUNCTION("""COMPUTED_VALUE"""),"III-3-178")</f>
        <v>III-3-178</v>
      </c>
      <c r="B592" t="str">
        <f ca="1">IFERROR(__xludf.DUMMYFUNCTION("""COMPUTED_VALUE"""),"Иволгин")</f>
        <v>Иволгин</v>
      </c>
      <c r="C592" t="str">
        <f ca="1">IFERROR(__xludf.DUMMYFUNCTION("""COMPUTED_VALUE"""),"Давид")</f>
        <v>Давид</v>
      </c>
      <c r="D592" t="str">
        <f ca="1">IFERROR(__xludf.DUMMYFUNCTION("""COMPUTED_VALUE"""),"Школа 36")</f>
        <v>Школа 36</v>
      </c>
      <c r="E592" s="5"/>
      <c r="F592" s="5"/>
      <c r="G592" s="5"/>
      <c r="H592" s="5"/>
      <c r="I592" s="5"/>
      <c r="J592" s="5"/>
      <c r="K592" s="5"/>
      <c r="L592" s="5"/>
      <c r="M592">
        <f ca="1">IFERROR(__xludf.DUMMYFUNCTION("""COMPUTED_VALUE"""),0)</f>
        <v>0</v>
      </c>
      <c r="N592" s="8"/>
    </row>
    <row r="593" spans="1:14" ht="12.45" hidden="1">
      <c r="A593" t="str">
        <f ca="1">IFERROR(__xludf.DUMMYFUNCTION("""COMPUTED_VALUE"""),"III-3-034")</f>
        <v>III-3-034</v>
      </c>
      <c r="B593" t="str">
        <f ca="1">IFERROR(__xludf.DUMMYFUNCTION("""COMPUTED_VALUE"""),"Басалаев")</f>
        <v>Басалаев</v>
      </c>
      <c r="C593" t="str">
        <f ca="1">IFERROR(__xludf.DUMMYFUNCTION("""COMPUTED_VALUE"""),"Данила")</f>
        <v>Данила</v>
      </c>
      <c r="D593" t="str">
        <f ca="1">IFERROR(__xludf.DUMMYFUNCTION("""COMPUTED_VALUE"""),"Школа 598")</f>
        <v>Школа 598</v>
      </c>
      <c r="E593" s="5"/>
      <c r="F593" s="5"/>
      <c r="G593" s="5"/>
      <c r="H593" s="5"/>
      <c r="I593" s="5"/>
      <c r="J593" s="5"/>
      <c r="K593" s="5"/>
      <c r="L593" s="5"/>
      <c r="M593">
        <f ca="1">IFERROR(__xludf.DUMMYFUNCTION("""COMPUTED_VALUE"""),0)</f>
        <v>0</v>
      </c>
      <c r="N593" s="8"/>
    </row>
    <row r="594" spans="1:14" ht="12.45" hidden="1">
      <c r="A594" t="str">
        <f ca="1">IFERROR(__xludf.DUMMYFUNCTION("""COMPUTED_VALUE"""),"V-3-307")</f>
        <v>V-3-307</v>
      </c>
      <c r="B594" t="str">
        <f ca="1">IFERROR(__xludf.DUMMYFUNCTION("""COMPUTED_VALUE"""),"Макаров")</f>
        <v>Макаров</v>
      </c>
      <c r="C594" t="str">
        <f ca="1">IFERROR(__xludf.DUMMYFUNCTION("""COMPUTED_VALUE"""),"Иван")</f>
        <v>Иван</v>
      </c>
      <c r="D594" t="str">
        <f ca="1">IFERROR(__xludf.DUMMYFUNCTION("""COMPUTED_VALUE"""),"Школа 465 Санкт-Петербурга")</f>
        <v>Школа 465 Санкт-Петербурга</v>
      </c>
      <c r="E594" s="5"/>
      <c r="F594" s="5"/>
      <c r="G594" s="5"/>
      <c r="H594" s="5"/>
      <c r="I594" s="5"/>
      <c r="J594" s="5"/>
      <c r="K594" s="5"/>
      <c r="L594" s="5"/>
      <c r="M594">
        <f ca="1">IFERROR(__xludf.DUMMYFUNCTION("""COMPUTED_VALUE"""),0)</f>
        <v>0</v>
      </c>
      <c r="N594" s="8"/>
    </row>
    <row r="595" spans="1:14" ht="12.45" hidden="1">
      <c r="A595" t="str">
        <f ca="1">IFERROR(__xludf.DUMMYFUNCTION("""COMPUTED_VALUE"""),"V-3-387")</f>
        <v>V-3-387</v>
      </c>
      <c r="B595" t="str">
        <f ca="1">IFERROR(__xludf.DUMMYFUNCTION("""COMPUTED_VALUE"""),"Орлов")</f>
        <v>Орлов</v>
      </c>
      <c r="C595" t="str">
        <f ca="1">IFERROR(__xludf.DUMMYFUNCTION("""COMPUTED_VALUE"""),"Андрей")</f>
        <v>Андрей</v>
      </c>
      <c r="D595" t="str">
        <f ca="1">IFERROR(__xludf.DUMMYFUNCTION("""COMPUTED_VALUE"""),"Школа 593")</f>
        <v>Школа 593</v>
      </c>
      <c r="E595" s="5"/>
      <c r="F595" s="5"/>
      <c r="G595" s="5"/>
      <c r="H595" s="5"/>
      <c r="I595" s="5"/>
      <c r="J595" s="5"/>
      <c r="K595" s="5"/>
      <c r="L595" s="5"/>
      <c r="M595">
        <f ca="1">IFERROR(__xludf.DUMMYFUNCTION("""COMPUTED_VALUE"""),0)</f>
        <v>0</v>
      </c>
      <c r="N595" s="8"/>
    </row>
    <row r="596" spans="1:14" ht="12.45" hidden="1">
      <c r="A596" t="str">
        <f ca="1">IFERROR(__xludf.DUMMYFUNCTION("""COMPUTED_VALUE"""),"V-3-455")</f>
        <v>V-3-455</v>
      </c>
      <c r="B596" t="str">
        <f ca="1">IFERROR(__xludf.DUMMYFUNCTION("""COMPUTED_VALUE"""),"Сайнос")</f>
        <v>Сайнос</v>
      </c>
      <c r="C596" t="str">
        <f ca="1">IFERROR(__xludf.DUMMYFUNCTION("""COMPUTED_VALUE"""),"Андрей")</f>
        <v>Андрей</v>
      </c>
      <c r="D596" t="str">
        <f ca="1">IFERROR(__xludf.DUMMYFUNCTION("""COMPUTED_VALUE"""),"Лицей 226")</f>
        <v>Лицей 226</v>
      </c>
      <c r="E596" s="5"/>
      <c r="F596" s="5"/>
      <c r="G596" s="5"/>
      <c r="H596" s="5"/>
      <c r="I596" s="5"/>
      <c r="J596" s="5"/>
      <c r="K596" s="5"/>
      <c r="L596" s="5"/>
      <c r="M596">
        <f ca="1">IFERROR(__xludf.DUMMYFUNCTION("""COMPUTED_VALUE"""),0)</f>
        <v>0</v>
      </c>
      <c r="N596" s="8"/>
    </row>
    <row r="597" spans="1:14" ht="12.45" hidden="1">
      <c r="A597" t="str">
        <f ca="1">IFERROR(__xludf.DUMMYFUNCTION("""COMPUTED_VALUE"""),"V-3-484")</f>
        <v>V-3-484</v>
      </c>
      <c r="B597" t="str">
        <f ca="1">IFERROR(__xludf.DUMMYFUNCTION("""COMPUTED_VALUE"""),"Скибинская")</f>
        <v>Скибинская</v>
      </c>
      <c r="C597" t="str">
        <f ca="1">IFERROR(__xludf.DUMMYFUNCTION("""COMPUTED_VALUE"""),"Дарья")</f>
        <v>Дарья</v>
      </c>
      <c r="D597" t="str">
        <f ca="1">IFERROR(__xludf.DUMMYFUNCTION("""COMPUTED_VALUE"""),"Лицей 226")</f>
        <v>Лицей 226</v>
      </c>
      <c r="E597" s="5"/>
      <c r="F597" s="5"/>
      <c r="G597" s="5"/>
      <c r="H597" s="5"/>
      <c r="I597" s="5"/>
      <c r="J597" s="5"/>
      <c r="K597" s="5"/>
      <c r="L597" s="5"/>
      <c r="M597">
        <f ca="1">IFERROR(__xludf.DUMMYFUNCTION("""COMPUTED_VALUE"""),0)</f>
        <v>0</v>
      </c>
      <c r="N597" s="8"/>
    </row>
    <row r="598" spans="1:14" ht="12.45" hidden="1">
      <c r="A598" t="str">
        <f ca="1">IFERROR(__xludf.DUMMYFUNCTION("""COMPUTED_VALUE"""),"III-3-177")</f>
        <v>III-3-177</v>
      </c>
      <c r="B598" t="str">
        <f ca="1">IFERROR(__xludf.DUMMYFUNCTION("""COMPUTED_VALUE"""),"Иванова")</f>
        <v>Иванова</v>
      </c>
      <c r="C598" t="str">
        <f ca="1">IFERROR(__xludf.DUMMYFUNCTION("""COMPUTED_VALUE"""),"Марфа")</f>
        <v>Марфа</v>
      </c>
      <c r="D598" t="str">
        <f ca="1">IFERROR(__xludf.DUMMYFUNCTION("""COMPUTED_VALUE"""),"Школа 246")</f>
        <v>Школа 246</v>
      </c>
      <c r="E598" s="5"/>
      <c r="F598" s="5"/>
      <c r="G598" s="5"/>
      <c r="H598" s="5"/>
      <c r="I598" s="5"/>
      <c r="J598" s="5"/>
      <c r="K598" s="5"/>
      <c r="L598" s="5"/>
      <c r="M598">
        <f ca="1">IFERROR(__xludf.DUMMYFUNCTION("""COMPUTED_VALUE"""),0)</f>
        <v>0</v>
      </c>
      <c r="N598" s="8"/>
    </row>
    <row r="599" spans="1:14" ht="12.45" hidden="1">
      <c r="A599" t="str">
        <f ca="1">IFERROR(__xludf.DUMMYFUNCTION("""COMPUTED_VALUE"""),"III-3-245")</f>
        <v>III-3-245</v>
      </c>
      <c r="B599" t="str">
        <f ca="1">IFERROR(__xludf.DUMMYFUNCTION("""COMPUTED_VALUE"""),"Краснощекова")</f>
        <v>Краснощекова</v>
      </c>
      <c r="C599" t="str">
        <f ca="1">IFERROR(__xludf.DUMMYFUNCTION("""COMPUTED_VALUE"""),"Мария")</f>
        <v>Мария</v>
      </c>
      <c r="D599" t="str">
        <f ca="1">IFERROR(__xludf.DUMMYFUNCTION("""COMPUTED_VALUE"""),"Школа 500")</f>
        <v>Школа 500</v>
      </c>
      <c r="E599" s="5"/>
      <c r="F599" s="5"/>
      <c r="G599" s="5"/>
      <c r="H599" s="5"/>
      <c r="I599" s="5"/>
      <c r="J599" s="5"/>
      <c r="K599" s="5"/>
      <c r="L599" s="5"/>
      <c r="M599">
        <f ca="1">IFERROR(__xludf.DUMMYFUNCTION("""COMPUTED_VALUE"""),0)</f>
        <v>0</v>
      </c>
      <c r="N599" s="8"/>
    </row>
    <row r="600" spans="1:14" ht="12.45" hidden="1">
      <c r="A600" t="str">
        <f ca="1">IFERROR(__xludf.DUMMYFUNCTION("""COMPUTED_VALUE"""),"V-3-434")</f>
        <v>V-3-434</v>
      </c>
      <c r="B600" t="str">
        <f ca="1">IFERROR(__xludf.DUMMYFUNCTION("""COMPUTED_VALUE"""),"Райский")</f>
        <v>Райский</v>
      </c>
      <c r="C600" t="str">
        <f ca="1">IFERROR(__xludf.DUMMYFUNCTION("""COMPUTED_VALUE"""),"Борис")</f>
        <v>Борис</v>
      </c>
      <c r="D600" t="str">
        <f ca="1">IFERROR(__xludf.DUMMYFUNCTION("""COMPUTED_VALUE"""),"Школа 500")</f>
        <v>Школа 500</v>
      </c>
      <c r="E600" s="5"/>
      <c r="F600" s="5"/>
      <c r="G600" s="5"/>
      <c r="H600" s="5"/>
      <c r="I600" s="5"/>
      <c r="J600" s="5"/>
      <c r="K600" s="5"/>
      <c r="L600" s="5"/>
      <c r="M600">
        <f ca="1">IFERROR(__xludf.DUMMYFUNCTION("""COMPUTED_VALUE"""),0)</f>
        <v>0</v>
      </c>
      <c r="N600" s="8"/>
    </row>
    <row r="601" spans="1:14" ht="12.45" hidden="1">
      <c r="A601" t="str">
        <f ca="1">IFERROR(__xludf.DUMMYFUNCTION("""COMPUTED_VALUE"""),"V-3-487")</f>
        <v>V-3-487</v>
      </c>
      <c r="B601" t="str">
        <f ca="1">IFERROR(__xludf.DUMMYFUNCTION("""COMPUTED_VALUE"""),"Смирнов")</f>
        <v>Смирнов</v>
      </c>
      <c r="C601" t="str">
        <f ca="1">IFERROR(__xludf.DUMMYFUNCTION("""COMPUTED_VALUE"""),"Иван")</f>
        <v>Иван</v>
      </c>
      <c r="D601" t="str">
        <f ca="1">IFERROR(__xludf.DUMMYFUNCTION("""COMPUTED_VALUE"""),"Школа 500")</f>
        <v>Школа 500</v>
      </c>
      <c r="E601" s="5"/>
      <c r="F601" s="5"/>
      <c r="G601" s="5"/>
      <c r="H601" s="5"/>
      <c r="I601" s="5"/>
      <c r="J601" s="5"/>
      <c r="K601" s="5"/>
      <c r="L601" s="5"/>
      <c r="M601">
        <f ca="1">IFERROR(__xludf.DUMMYFUNCTION("""COMPUTED_VALUE"""),0)</f>
        <v>0</v>
      </c>
      <c r="N601" s="8"/>
    </row>
    <row r="602" spans="1:14" ht="12.45" hidden="1">
      <c r="A602" t="str">
        <f ca="1">IFERROR(__xludf.DUMMYFUNCTION("""COMPUTED_VALUE"""),"III-3-108")</f>
        <v>III-3-108</v>
      </c>
      <c r="B602" t="str">
        <f ca="1">IFERROR(__xludf.DUMMYFUNCTION("""COMPUTED_VALUE"""),"Голюдов")</f>
        <v>Голюдов</v>
      </c>
      <c r="C602" t="str">
        <f ca="1">IFERROR(__xludf.DUMMYFUNCTION("""COMPUTED_VALUE"""),"Семён")</f>
        <v>Семён</v>
      </c>
      <c r="D602" t="str">
        <f ca="1">IFERROR(__xludf.DUMMYFUNCTION("""COMPUTED_VALUE"""),"Школа 500")</f>
        <v>Школа 500</v>
      </c>
      <c r="E602" s="5"/>
      <c r="F602" s="5"/>
      <c r="G602" s="5"/>
      <c r="H602" s="5"/>
      <c r="I602" s="5"/>
      <c r="J602" s="5"/>
      <c r="K602" s="5"/>
      <c r="L602" s="5"/>
      <c r="M602">
        <f ca="1">IFERROR(__xludf.DUMMYFUNCTION("""COMPUTED_VALUE"""),0)</f>
        <v>0</v>
      </c>
      <c r="N602" s="8"/>
    </row>
    <row r="603" spans="1:14" ht="12.45" hidden="1">
      <c r="A603" t="str">
        <f ca="1">IFERROR(__xludf.DUMMYFUNCTION("""COMPUTED_VALUE"""),"III-3-045")</f>
        <v>III-3-045</v>
      </c>
      <c r="B603" t="str">
        <f ca="1">IFERROR(__xludf.DUMMYFUNCTION("""COMPUTED_VALUE"""),"Берт")</f>
        <v>Берт</v>
      </c>
      <c r="C603" t="str">
        <f ca="1">IFERROR(__xludf.DUMMYFUNCTION("""COMPUTED_VALUE"""),"Варвара")</f>
        <v>Варвара</v>
      </c>
      <c r="D603" t="str">
        <f ca="1">IFERROR(__xludf.DUMMYFUNCTION("""COMPUTED_VALUE"""),"Лицей 486")</f>
        <v>Лицей 486</v>
      </c>
      <c r="E603" s="5"/>
      <c r="F603" s="5"/>
      <c r="G603" s="5"/>
      <c r="H603" s="5"/>
      <c r="I603" s="5"/>
      <c r="J603" s="5"/>
      <c r="K603" s="5"/>
      <c r="L603" s="5"/>
      <c r="M603">
        <f ca="1">IFERROR(__xludf.DUMMYFUNCTION("""COMPUTED_VALUE"""),0)</f>
        <v>0</v>
      </c>
      <c r="N603" s="8"/>
    </row>
    <row r="604" spans="1:14" ht="12.45" hidden="1">
      <c r="A604" t="str">
        <f ca="1">IFERROR(__xludf.DUMMYFUNCTION("""COMPUTED_VALUE"""),"V-3-327")</f>
        <v>V-3-327</v>
      </c>
      <c r="B604" t="str">
        <f ca="1">IFERROR(__xludf.DUMMYFUNCTION("""COMPUTED_VALUE"""),"Меркулов")</f>
        <v>Меркулов</v>
      </c>
      <c r="C604" t="str">
        <f ca="1">IFERROR(__xludf.DUMMYFUNCTION("""COMPUTED_VALUE"""),"Александр")</f>
        <v>Александр</v>
      </c>
      <c r="D604" t="str">
        <f ca="1">IFERROR(__xludf.DUMMYFUNCTION("""COMPUTED_VALUE"""),"Лицей 623")</f>
        <v>Лицей 623</v>
      </c>
      <c r="E604" s="5"/>
      <c r="F604" s="5"/>
      <c r="G604" s="5"/>
      <c r="H604" s="5"/>
      <c r="I604" s="5"/>
      <c r="J604" s="5"/>
      <c r="K604" s="5"/>
      <c r="L604" s="5"/>
      <c r="M604">
        <f ca="1">IFERROR(__xludf.DUMMYFUNCTION("""COMPUTED_VALUE"""),0)</f>
        <v>0</v>
      </c>
      <c r="N604" s="8"/>
    </row>
    <row r="605" spans="1:14" ht="12.45" hidden="1">
      <c r="A605" t="str">
        <f ca="1">IFERROR(__xludf.DUMMYFUNCTION("""COMPUTED_VALUE"""),"III-3-278")</f>
        <v>III-3-278</v>
      </c>
      <c r="B605" t="str">
        <f ca="1">IFERROR(__xludf.DUMMYFUNCTION("""COMPUTED_VALUE"""),"Лакштанова")</f>
        <v>Лакштанова</v>
      </c>
      <c r="C605" t="str">
        <f ca="1">IFERROR(__xludf.DUMMYFUNCTION("""COMPUTED_VALUE"""),"Екатерина")</f>
        <v>Екатерина</v>
      </c>
      <c r="D605" t="str">
        <f ca="1">IFERROR(__xludf.DUMMYFUNCTION("""COMPUTED_VALUE"""),"Гимназия 130")</f>
        <v>Гимназия 130</v>
      </c>
      <c r="E605" s="5"/>
      <c r="F605" s="5"/>
      <c r="G605" s="5"/>
      <c r="H605" s="5"/>
      <c r="I605" s="5"/>
      <c r="J605" s="5"/>
      <c r="K605" s="5"/>
      <c r="L605" s="5"/>
      <c r="M605">
        <f ca="1">IFERROR(__xludf.DUMMYFUNCTION("""COMPUTED_VALUE"""),0)</f>
        <v>0</v>
      </c>
      <c r="N605" s="8"/>
    </row>
    <row r="606" spans="1:14" ht="12.45" hidden="1">
      <c r="A606" t="str">
        <f ca="1">IFERROR(__xludf.DUMMYFUNCTION("""COMPUTED_VALUE"""),"III-3-129")</f>
        <v>III-3-129</v>
      </c>
      <c r="B606" t="str">
        <f ca="1">IFERROR(__xludf.DUMMYFUNCTION("""COMPUTED_VALUE"""),"Дмитриев")</f>
        <v>Дмитриев</v>
      </c>
      <c r="C606" t="str">
        <f ca="1">IFERROR(__xludf.DUMMYFUNCTION("""COMPUTED_VALUE"""),"Николай")</f>
        <v>Николай</v>
      </c>
      <c r="D606" t="str">
        <f ca="1">IFERROR(__xludf.DUMMYFUNCTION("""COMPUTED_VALUE"""),"Лицей Паскаль-лицей")</f>
        <v>Лицей Паскаль-лицей</v>
      </c>
      <c r="E606" s="5"/>
      <c r="F606" s="5"/>
      <c r="G606" s="5"/>
      <c r="H606" s="5"/>
      <c r="I606" s="5"/>
      <c r="J606" s="5"/>
      <c r="K606" s="5"/>
      <c r="L606" s="5"/>
      <c r="M606">
        <f ca="1">IFERROR(__xludf.DUMMYFUNCTION("""COMPUTED_VALUE"""),0)</f>
        <v>0</v>
      </c>
      <c r="N606" s="8"/>
    </row>
    <row r="607" spans="1:14" ht="12.45" hidden="1">
      <c r="A607" t="str">
        <f ca="1">IFERROR(__xludf.DUMMYFUNCTION("""COMPUTED_VALUE"""),"III-3-051")</f>
        <v>III-3-051</v>
      </c>
      <c r="B607" t="str">
        <f ca="1">IFERROR(__xludf.DUMMYFUNCTION("""COMPUTED_VALUE"""),"Бойко")</f>
        <v>Бойко</v>
      </c>
      <c r="C607" t="str">
        <f ca="1">IFERROR(__xludf.DUMMYFUNCTION("""COMPUTED_VALUE"""),"Евгений")</f>
        <v>Евгений</v>
      </c>
      <c r="D607" t="str">
        <f ca="1">IFERROR(__xludf.DUMMYFUNCTION("""COMPUTED_VALUE"""),"Школа 605")</f>
        <v>Школа 605</v>
      </c>
      <c r="E607" s="5"/>
      <c r="F607" s="5"/>
      <c r="G607" s="5"/>
      <c r="H607" s="5"/>
      <c r="I607" s="5"/>
      <c r="J607" s="5"/>
      <c r="K607" s="5"/>
      <c r="L607" s="5"/>
      <c r="M607">
        <f ca="1">IFERROR(__xludf.DUMMYFUNCTION("""COMPUTED_VALUE"""),0)</f>
        <v>0</v>
      </c>
      <c r="N607" s="8"/>
    </row>
    <row r="608" spans="1:14" ht="12.45" hidden="1">
      <c r="A608" t="str">
        <f ca="1">IFERROR(__xludf.DUMMYFUNCTION("""COMPUTED_VALUE"""),"V-3-593")</f>
        <v>V-3-593</v>
      </c>
      <c r="B608" t="str">
        <f ca="1">IFERROR(__xludf.DUMMYFUNCTION("""COMPUTED_VALUE"""),"Яковлев")</f>
        <v>Яковлев</v>
      </c>
      <c r="C608" t="str">
        <f ca="1">IFERROR(__xludf.DUMMYFUNCTION("""COMPUTED_VALUE"""),"Лев")</f>
        <v>Лев</v>
      </c>
      <c r="D608" t="str">
        <f ca="1">IFERROR(__xludf.DUMMYFUNCTION("""COMPUTED_VALUE"""),"Лицей 566")</f>
        <v>Лицей 566</v>
      </c>
      <c r="E608" s="5"/>
      <c r="F608" s="5"/>
      <c r="G608" s="5"/>
      <c r="H608" s="5"/>
      <c r="I608" s="5"/>
      <c r="J608" s="5"/>
      <c r="K608" s="5"/>
      <c r="L608" s="5"/>
      <c r="M608">
        <f ca="1">IFERROR(__xludf.DUMMYFUNCTION("""COMPUTED_VALUE"""),0)</f>
        <v>0</v>
      </c>
      <c r="N608" s="8"/>
    </row>
    <row r="609" spans="1:14" ht="12.45" hidden="1">
      <c r="A609" t="str">
        <f ca="1">IFERROR(__xludf.DUMMYFUNCTION("""COMPUTED_VALUE"""),"III-3-279")</f>
        <v>III-3-279</v>
      </c>
      <c r="B609" t="str">
        <f ca="1">IFERROR(__xludf.DUMMYFUNCTION("""COMPUTED_VALUE"""),"Ламбин")</f>
        <v>Ламбин</v>
      </c>
      <c r="C609" t="str">
        <f ca="1">IFERROR(__xludf.DUMMYFUNCTION("""COMPUTED_VALUE"""),"Андрей")</f>
        <v>Андрей</v>
      </c>
      <c r="D609" t="str">
        <f ca="1">IFERROR(__xludf.DUMMYFUNCTION("""COMPUTED_VALUE"""),"Школа 92")</f>
        <v>Школа 92</v>
      </c>
      <c r="E609" s="5"/>
      <c r="F609" s="5"/>
      <c r="G609" s="5"/>
      <c r="H609" s="5"/>
      <c r="I609" s="5"/>
      <c r="J609" s="5"/>
      <c r="K609" s="5"/>
      <c r="L609" s="5"/>
      <c r="M609">
        <f ca="1">IFERROR(__xludf.DUMMYFUNCTION("""COMPUTED_VALUE"""),0)</f>
        <v>0</v>
      </c>
      <c r="N609" s="8"/>
    </row>
    <row r="610" spans="1:14" ht="12.45" hidden="1">
      <c r="E610" s="5"/>
      <c r="F610" s="5"/>
      <c r="G610" s="5"/>
      <c r="H610" s="5"/>
      <c r="I610" s="5"/>
      <c r="J610" s="5"/>
      <c r="K610" s="5"/>
      <c r="L610" s="5"/>
      <c r="M610">
        <f ca="1">IFERROR(__xludf.DUMMYFUNCTION("""COMPUTED_VALUE"""),0)</f>
        <v>0</v>
      </c>
      <c r="N610" s="8"/>
    </row>
    <row r="611" spans="1:14" ht="12.45" hidden="1">
      <c r="E611" s="5"/>
      <c r="F611" s="5"/>
      <c r="G611" s="5"/>
      <c r="H611" s="5"/>
      <c r="I611" s="5"/>
      <c r="J611" s="5"/>
      <c r="K611" s="5"/>
      <c r="L611" s="5"/>
      <c r="M611">
        <f ca="1">IFERROR(__xludf.DUMMYFUNCTION("""COMPUTED_VALUE"""),0)</f>
        <v>0</v>
      </c>
      <c r="N611" s="8"/>
    </row>
    <row r="612" spans="1:14" ht="12.45" hidden="1">
      <c r="E612" s="5"/>
      <c r="F612" s="5"/>
      <c r="G612" s="5"/>
      <c r="H612" s="5"/>
      <c r="I612" s="5"/>
      <c r="J612" s="5"/>
      <c r="K612" s="5"/>
      <c r="L612" s="5"/>
      <c r="M612">
        <f ca="1">IFERROR(__xludf.DUMMYFUNCTION("""COMPUTED_VALUE"""),0)</f>
        <v>0</v>
      </c>
      <c r="N612" s="8"/>
    </row>
    <row r="613" spans="1:14" ht="12.45" hidden="1">
      <c r="E613" s="5"/>
      <c r="F613" s="5"/>
      <c r="G613" s="5"/>
      <c r="H613" s="5"/>
      <c r="I613" s="5"/>
      <c r="J613" s="5"/>
      <c r="K613" s="5"/>
      <c r="L613" s="5"/>
      <c r="M613">
        <f ca="1">IFERROR(__xludf.DUMMYFUNCTION("""COMPUTED_VALUE"""),0)</f>
        <v>0</v>
      </c>
      <c r="N613" s="8"/>
    </row>
    <row r="614" spans="1:14" ht="12.45">
      <c r="E614" s="5"/>
      <c r="F614" s="5"/>
      <c r="G614" s="5"/>
      <c r="H614" s="5"/>
      <c r="I614" s="5"/>
      <c r="J614" s="5"/>
      <c r="K614" s="5"/>
      <c r="L614" s="5"/>
      <c r="N614" s="8"/>
    </row>
    <row r="615" spans="1:14" ht="12.45">
      <c r="E615" s="5"/>
      <c r="F615" s="5"/>
      <c r="G615" s="5"/>
      <c r="H615" s="5"/>
      <c r="I615" s="5"/>
      <c r="J615" s="5"/>
      <c r="K615" s="5"/>
      <c r="L615" s="5"/>
      <c r="N615" s="8"/>
    </row>
    <row r="616" spans="1:14" ht="12.45">
      <c r="E616" s="5"/>
      <c r="F616" s="5"/>
      <c r="G616" s="5"/>
      <c r="H616" s="5"/>
      <c r="I616" s="5"/>
      <c r="J616" s="5"/>
      <c r="K616" s="5"/>
      <c r="L616" s="5"/>
      <c r="N616" s="8"/>
    </row>
    <row r="617" spans="1:14" ht="12.45">
      <c r="E617" s="5"/>
      <c r="F617" s="5"/>
      <c r="G617" s="5"/>
      <c r="H617" s="5"/>
      <c r="I617" s="5"/>
      <c r="J617" s="5"/>
      <c r="K617" s="5"/>
      <c r="L617" s="5"/>
      <c r="N617" s="8"/>
    </row>
    <row r="618" spans="1:14" ht="12.45">
      <c r="E618" s="5"/>
      <c r="F618" s="5"/>
      <c r="G618" s="5"/>
      <c r="H618" s="5"/>
      <c r="I618" s="5"/>
      <c r="J618" s="5"/>
      <c r="K618" s="5"/>
      <c r="L618" s="5"/>
      <c r="N618" s="8"/>
    </row>
    <row r="619" spans="1:14" ht="12.45">
      <c r="E619" s="5"/>
      <c r="F619" s="5"/>
      <c r="G619" s="5"/>
      <c r="H619" s="5"/>
      <c r="I619" s="5"/>
      <c r="J619" s="5"/>
      <c r="K619" s="5"/>
      <c r="L619" s="5"/>
      <c r="N619" s="8"/>
    </row>
    <row r="620" spans="1:14" ht="12.45">
      <c r="E620" s="5"/>
      <c r="F620" s="5"/>
      <c r="G620" s="5"/>
      <c r="H620" s="5"/>
      <c r="I620" s="5"/>
      <c r="J620" s="5"/>
      <c r="K620" s="5"/>
      <c r="L620" s="5"/>
      <c r="N620" s="8"/>
    </row>
    <row r="621" spans="1:14" ht="12.45">
      <c r="E621" s="5"/>
      <c r="F621" s="5"/>
      <c r="G621" s="5"/>
      <c r="H621" s="5"/>
      <c r="I621" s="5"/>
      <c r="J621" s="5"/>
      <c r="K621" s="5"/>
      <c r="L621" s="5"/>
      <c r="N621" s="8"/>
    </row>
    <row r="622" spans="1:14" ht="12.45">
      <c r="E622" s="5"/>
      <c r="F622" s="5"/>
      <c r="G622" s="5"/>
      <c r="H622" s="5"/>
      <c r="I622" s="5"/>
      <c r="J622" s="5"/>
      <c r="K622" s="5"/>
      <c r="L622" s="5"/>
      <c r="N622" s="8"/>
    </row>
    <row r="623" spans="1:14" ht="12.45">
      <c r="E623" s="5"/>
      <c r="F623" s="5"/>
      <c r="G623" s="5"/>
      <c r="H623" s="5"/>
      <c r="I623" s="5"/>
      <c r="J623" s="5"/>
      <c r="K623" s="5"/>
      <c r="L623" s="5"/>
      <c r="N623" s="8"/>
    </row>
    <row r="624" spans="1:14" ht="12.45">
      <c r="E624" s="5"/>
      <c r="F624" s="5"/>
      <c r="G624" s="5"/>
      <c r="H624" s="5"/>
      <c r="I624" s="5"/>
      <c r="J624" s="5"/>
      <c r="K624" s="5"/>
      <c r="L624" s="5"/>
      <c r="N624" s="8"/>
    </row>
    <row r="625" spans="5:14" ht="12.45">
      <c r="E625" s="5"/>
      <c r="F625" s="5"/>
      <c r="G625" s="5"/>
      <c r="H625" s="5"/>
      <c r="I625" s="5"/>
      <c r="J625" s="5"/>
      <c r="K625" s="5"/>
      <c r="L625" s="5"/>
      <c r="N625" s="8"/>
    </row>
    <row r="626" spans="5:14" ht="12.45">
      <c r="E626" s="5"/>
      <c r="F626" s="5"/>
      <c r="G626" s="5"/>
      <c r="H626" s="5"/>
      <c r="I626" s="5"/>
      <c r="J626" s="5"/>
      <c r="K626" s="5"/>
      <c r="L626" s="5"/>
      <c r="N626" s="8"/>
    </row>
    <row r="627" spans="5:14" ht="12.45">
      <c r="E627" s="5"/>
      <c r="F627" s="5"/>
      <c r="G627" s="5"/>
      <c r="H627" s="5"/>
      <c r="I627" s="5"/>
      <c r="J627" s="5"/>
      <c r="K627" s="5"/>
      <c r="L627" s="5"/>
      <c r="N627" s="8"/>
    </row>
    <row r="628" spans="5:14" ht="12.45">
      <c r="E628" s="5"/>
      <c r="F628" s="5"/>
      <c r="G628" s="5"/>
      <c r="H628" s="5"/>
      <c r="I628" s="5"/>
      <c r="J628" s="5"/>
      <c r="K628" s="5"/>
      <c r="L628" s="5"/>
      <c r="N628" s="8"/>
    </row>
    <row r="629" spans="5:14" ht="12.45">
      <c r="E629" s="5"/>
      <c r="F629" s="5"/>
      <c r="G629" s="5"/>
      <c r="H629" s="5"/>
      <c r="I629" s="5"/>
      <c r="J629" s="5"/>
      <c r="K629" s="5"/>
      <c r="L629" s="5"/>
      <c r="N629" s="8"/>
    </row>
  </sheetData>
  <autoFilter ref="A8:AA613">
    <filterColumn colId="3">
      <filters>
        <filter val="Гимназия Лингвистическая гимназия 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629"/>
  <sheetViews>
    <sheetView tabSelected="1" workbookViewId="0">
      <pane ySplit="7" topLeftCell="A8" activePane="bottomLeft" state="frozen"/>
      <selection pane="bottomLeft" activeCell="C46" sqref="C46:C327"/>
    </sheetView>
  </sheetViews>
  <sheetFormatPr defaultColWidth="12.61328125" defaultRowHeight="15" customHeight="1"/>
  <cols>
    <col min="1" max="1" width="8.3828125" customWidth="1"/>
    <col min="4" max="4" width="17.3828125" customWidth="1"/>
    <col min="5" max="13" width="5.23046875" customWidth="1"/>
  </cols>
  <sheetData>
    <row r="1" spans="1:27" ht="17.60000000000000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600000000000001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600000000000001">
      <c r="A3" s="4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600000000000001">
      <c r="A4" s="4" t="s">
        <v>3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600000000000001" hidden="1">
      <c r="A5" t="str">
        <f ca="1">IFERROR(__xludf.DUMMYFUNCTION("IMPORTRANGE(""https://docs.google.com/spreadsheets/d/1d0Bb4o7lzKT3yBaERn16Vqc645t23wzs8oXZmhT8Li4/edit#gid=204709947"",""'Итоги 4'!A:C"")"),"")</f>
        <v/>
      </c>
      <c r="D5" t="str">
        <f ca="1">IFERROR(__xludf.DUMMYFUNCTION("IMPORTRANGE(""https://docs.google.com/spreadsheets/d/1d0Bb4o7lzKT3yBaERn16Vqc645t23wzs8oXZmhT8Li4/edit#gid=204709947"",""'Итоги 4'!E:E"")"),"")</f>
        <v/>
      </c>
      <c r="E5" s="5" t="str">
        <f ca="1">IFERROR(__xludf.DUMMYFUNCTION("IMPORTRANGE(""https://docs.google.com/spreadsheets/d/1d0Bb4o7lzKT3yBaERn16Vqc645t23wzs8oXZmhT8Li4/edit#gid=204709947"",""'Итоги 4'!S:AB"")"),"ОЧНЫЙ ТУР. Вторая проверка")</f>
        <v>ОЧНЫЙ ТУР. Вторая проверка</v>
      </c>
      <c r="F5" s="5"/>
      <c r="G5" s="5"/>
      <c r="H5" s="5"/>
      <c r="I5" s="5"/>
      <c r="J5" s="5"/>
      <c r="K5" s="5"/>
      <c r="L5" s="5">
        <f ca="1">IFERROR(__xludf.DUMMYFUNCTION("""COMPUTED_VALUE"""),37)</f>
        <v>37</v>
      </c>
      <c r="N5" s="2"/>
    </row>
    <row r="6" spans="1:27" ht="17.600000000000001" hidden="1">
      <c r="E6" s="5">
        <f ca="1">IFERROR(__xludf.DUMMYFUNCTION("""COMPUTED_VALUE"""),1916)</f>
        <v>1916</v>
      </c>
      <c r="F6" s="5">
        <f ca="1">IFERROR(__xludf.DUMMYFUNCTION("""COMPUTED_VALUE"""),1055)</f>
        <v>1055</v>
      </c>
      <c r="G6" s="5">
        <f ca="1">IFERROR(__xludf.DUMMYFUNCTION("""COMPUTED_VALUE"""),359)</f>
        <v>359</v>
      </c>
      <c r="H6" s="5">
        <f ca="1">IFERROR(__xludf.DUMMYFUNCTION("""COMPUTED_VALUE"""),219)</f>
        <v>219</v>
      </c>
      <c r="I6" s="5">
        <f ca="1">IFERROR(__xludf.DUMMYFUNCTION("""COMPUTED_VALUE"""),555)</f>
        <v>555</v>
      </c>
      <c r="J6" s="5">
        <f ca="1">IFERROR(__xludf.DUMMYFUNCTION("""COMPUTED_VALUE"""),69)</f>
        <v>69</v>
      </c>
      <c r="K6" s="5">
        <f ca="1">IFERROR(__xludf.DUMMYFUNCTION("""COMPUTED_VALUE"""),42)</f>
        <v>42</v>
      </c>
      <c r="L6" s="5">
        <f ca="1">IFERROR(__xludf.DUMMYFUNCTION("""COMPUTED_VALUE"""),118)</f>
        <v>118</v>
      </c>
      <c r="M6">
        <f ca="1">IFERROR(__xludf.DUMMYFUNCTION("""COMPUTED_VALUE"""),4333)</f>
        <v>4333</v>
      </c>
      <c r="N6" s="2"/>
    </row>
    <row r="7" spans="1:27" ht="12.45">
      <c r="A7" s="9" t="str">
        <f ca="1">IFERROR(__xludf.DUMMYFUNCTION("""COMPUTED_VALUE"""),"Регистрационный номер")</f>
        <v>Регистрационный номер</v>
      </c>
      <c r="B7" s="9" t="str">
        <f ca="1">IFERROR(__xludf.DUMMYFUNCTION("""COMPUTED_VALUE"""),"Фамилия")</f>
        <v>Фамилия</v>
      </c>
      <c r="C7" s="9" t="str">
        <f ca="1">IFERROR(__xludf.DUMMYFUNCTION("""COMPUTED_VALUE"""),"Имя")</f>
        <v>Имя</v>
      </c>
      <c r="D7" s="9" t="str">
        <f ca="1">IFERROR(__xludf.DUMMYFUNCTION("""COMPUTED_VALUE"""),"Школа")</f>
        <v>Школа</v>
      </c>
      <c r="E7" s="10" t="str">
        <f ca="1">IFERROR(__xludf.DUMMYFUNCTION("""COMPUTED_VALUE"""),"#1")</f>
        <v>#1</v>
      </c>
      <c r="F7" s="10" t="str">
        <f ca="1">IFERROR(__xludf.DUMMYFUNCTION("""COMPUTED_VALUE"""),"#2")</f>
        <v>#2</v>
      </c>
      <c r="G7" s="10" t="str">
        <f ca="1">IFERROR(__xludf.DUMMYFUNCTION("""COMPUTED_VALUE"""),"#3")</f>
        <v>#3</v>
      </c>
      <c r="H7" s="10" t="str">
        <f ca="1">IFERROR(__xludf.DUMMYFUNCTION("""COMPUTED_VALUE"""),"#4")</f>
        <v>#4</v>
      </c>
      <c r="I7" s="10" t="str">
        <f ca="1">IFERROR(__xludf.DUMMYFUNCTION("""COMPUTED_VALUE"""),"#5")</f>
        <v>#5</v>
      </c>
      <c r="J7" s="10" t="str">
        <f ca="1">IFERROR(__xludf.DUMMYFUNCTION("""COMPUTED_VALUE"""),"#6")</f>
        <v>#6</v>
      </c>
      <c r="K7" s="10" t="str">
        <f ca="1">IFERROR(__xludf.DUMMYFUNCTION("""COMPUTED_VALUE"""),"#7")</f>
        <v>#7</v>
      </c>
      <c r="L7" s="10" t="str">
        <f ca="1">IFERROR(__xludf.DUMMYFUNCTION("""COMPUTED_VALUE"""),"#8")</f>
        <v>#8</v>
      </c>
      <c r="M7" s="9" t="str">
        <f ca="1">IFERROR(__xludf.DUMMYFUNCTION("""COMPUTED_VALUE"""),"Итого очный 2")</f>
        <v>Итого очный 2</v>
      </c>
      <c r="N7" s="9" t="str">
        <f ca="1">IFERROR(__xludf.DUMMYFUNCTION("""COMPUTED_VALUE"""),"Награда")</f>
        <v>Награда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2.45">
      <c r="A8" t="str">
        <f ca="1">IFERROR(__xludf.DUMMYFUNCTION("""COMPUTED_VALUE"""),"V-4-307")</f>
        <v>V-4-307</v>
      </c>
      <c r="B8" t="str">
        <f ca="1">IFERROR(__xludf.DUMMYFUNCTION("""COMPUTED_VALUE"""),"Москович")</f>
        <v>Москович</v>
      </c>
      <c r="C8" t="str">
        <f ca="1">IFERROR(__xludf.DUMMYFUNCTION("""COMPUTED_VALUE"""),"Андрей")</f>
        <v>Андрей</v>
      </c>
      <c r="D8" t="str">
        <f ca="1">IFERROR(__xludf.DUMMYFUNCTION("""COMPUTED_VALUE"""),"Лицей 366")</f>
        <v>Лицей 366</v>
      </c>
      <c r="E8" s="5">
        <f ca="1">IFERROR(__xludf.DUMMYFUNCTION("""COMPUTED_VALUE"""),7)</f>
        <v>7</v>
      </c>
      <c r="F8" s="5">
        <f ca="1">IFERROR(__xludf.DUMMYFUNCTION("""COMPUTED_VALUE"""),7)</f>
        <v>7</v>
      </c>
      <c r="G8" s="5">
        <f ca="1">IFERROR(__xludf.DUMMYFUNCTION("""COMPUTED_VALUE"""),2)</f>
        <v>2</v>
      </c>
      <c r="H8" s="5">
        <f ca="1">IFERROR(__xludf.DUMMYFUNCTION("""COMPUTED_VALUE"""),7)</f>
        <v>7</v>
      </c>
      <c r="I8" s="5">
        <f ca="1">IFERROR(__xludf.DUMMYFUNCTION("""COMPUTED_VALUE"""),7)</f>
        <v>7</v>
      </c>
      <c r="J8" s="5">
        <f ca="1">IFERROR(__xludf.DUMMYFUNCTION("""COMPUTED_VALUE"""),1)</f>
        <v>1</v>
      </c>
      <c r="K8" s="5"/>
      <c r="L8" s="5">
        <f ca="1">IFERROR(__xludf.DUMMYFUNCTION("""COMPUTED_VALUE"""),7)</f>
        <v>7</v>
      </c>
      <c r="M8">
        <f ca="1">IFERROR(__xludf.DUMMYFUNCTION("""COMPUTED_VALUE"""),38)</f>
        <v>38</v>
      </c>
      <c r="N8" s="8" t="str">
        <f ca="1">IFERROR(__xludf.DUMMYFUNCTION("""COMPUTED_VALUE"""),"Д1")</f>
        <v>Д1</v>
      </c>
    </row>
    <row r="9" spans="1:27" ht="12.45" hidden="1">
      <c r="A9" t="str">
        <f ca="1">IFERROR(__xludf.DUMMYFUNCTION("""COMPUTED_VALUE"""),"III-4-093")</f>
        <v>III-4-093</v>
      </c>
      <c r="B9" t="str">
        <f ca="1">IFERROR(__xludf.DUMMYFUNCTION("""COMPUTED_VALUE"""),"Верткина")</f>
        <v>Верткина</v>
      </c>
      <c r="C9" t="str">
        <f ca="1">IFERROR(__xludf.DUMMYFUNCTION("""COMPUTED_VALUE"""),"Анна")</f>
        <v>Анна</v>
      </c>
      <c r="D9" t="str">
        <f ca="1">IFERROR(__xludf.DUMMYFUNCTION("""COMPUTED_VALUE"""),"Школа 618")</f>
        <v>Школа 618</v>
      </c>
      <c r="E9" s="5">
        <f ca="1">IFERROR(__xludf.DUMMYFUNCTION("""COMPUTED_VALUE"""),7)</f>
        <v>7</v>
      </c>
      <c r="F9" s="5">
        <f ca="1">IFERROR(__xludf.DUMMYFUNCTION("""COMPUTED_VALUE"""),7)</f>
        <v>7</v>
      </c>
      <c r="G9" s="5">
        <f ca="1">IFERROR(__xludf.DUMMYFUNCTION("""COMPUTED_VALUE"""),7)</f>
        <v>7</v>
      </c>
      <c r="H9" s="5">
        <f ca="1">IFERROR(__xludf.DUMMYFUNCTION("""COMPUTED_VALUE"""),7)</f>
        <v>7</v>
      </c>
      <c r="I9" s="5">
        <f ca="1">IFERROR(__xludf.DUMMYFUNCTION("""COMPUTED_VALUE"""),6)</f>
        <v>6</v>
      </c>
      <c r="J9" s="5"/>
      <c r="K9" s="5"/>
      <c r="L9" s="5"/>
      <c r="M9">
        <f ca="1">IFERROR(__xludf.DUMMYFUNCTION("""COMPUTED_VALUE"""),34)</f>
        <v>34</v>
      </c>
      <c r="N9" s="8" t="str">
        <f ca="1">IFERROR(__xludf.DUMMYFUNCTION("""COMPUTED_VALUE"""),"Д2")</f>
        <v>Д2</v>
      </c>
    </row>
    <row r="10" spans="1:27" ht="12.45" hidden="1">
      <c r="A10" t="str">
        <f ca="1">IFERROR(__xludf.DUMMYFUNCTION("""COMPUTED_VALUE"""),"III-4-181")</f>
        <v>III-4-181</v>
      </c>
      <c r="B10" t="str">
        <f ca="1">IFERROR(__xludf.DUMMYFUNCTION("""COMPUTED_VALUE"""),"Захаров")</f>
        <v>Захаров</v>
      </c>
      <c r="C10" t="str">
        <f ca="1">IFERROR(__xludf.DUMMYFUNCTION("""COMPUTED_VALUE"""),"Фёдор")</f>
        <v>Фёдор</v>
      </c>
      <c r="D10" t="str">
        <f ca="1">IFERROR(__xludf.DUMMYFUNCTION("""COMPUTED_VALUE"""),"Лицей 410")</f>
        <v>Лицей 410</v>
      </c>
      <c r="E10" s="5">
        <f ca="1">IFERROR(__xludf.DUMMYFUNCTION("""COMPUTED_VALUE"""),7)</f>
        <v>7</v>
      </c>
      <c r="F10" s="5">
        <f ca="1">IFERROR(__xludf.DUMMYFUNCTION("""COMPUTED_VALUE"""),4)</f>
        <v>4</v>
      </c>
      <c r="G10" s="5">
        <f ca="1">IFERROR(__xludf.DUMMYFUNCTION("""COMPUTED_VALUE"""),7)</f>
        <v>7</v>
      </c>
      <c r="H10" s="5">
        <f ca="1">IFERROR(__xludf.DUMMYFUNCTION("""COMPUTED_VALUE"""),7)</f>
        <v>7</v>
      </c>
      <c r="I10" s="5">
        <f ca="1">IFERROR(__xludf.DUMMYFUNCTION("""COMPUTED_VALUE"""),6)</f>
        <v>6</v>
      </c>
      <c r="J10" s="5"/>
      <c r="K10" s="5"/>
      <c r="L10" s="5">
        <f ca="1">IFERROR(__xludf.DUMMYFUNCTION("""COMPUTED_VALUE"""),3)</f>
        <v>3</v>
      </c>
      <c r="M10">
        <f ca="1">IFERROR(__xludf.DUMMYFUNCTION("""COMPUTED_VALUE"""),34)</f>
        <v>34</v>
      </c>
      <c r="N10" s="8" t="str">
        <f ca="1">IFERROR(__xludf.DUMMYFUNCTION("""COMPUTED_VALUE"""),"Д2")</f>
        <v>Д2</v>
      </c>
    </row>
    <row r="11" spans="1:27" ht="12.45" hidden="1">
      <c r="A11" t="str">
        <f ca="1">IFERROR(__xludf.DUMMYFUNCTION("""COMPUTED_VALUE"""),"V-4-508")</f>
        <v>V-4-508</v>
      </c>
      <c r="B11" t="str">
        <f ca="1">IFERROR(__xludf.DUMMYFUNCTION("""COMPUTED_VALUE"""),"Шилов")</f>
        <v>Шилов</v>
      </c>
      <c r="C11" t="str">
        <f ca="1">IFERROR(__xludf.DUMMYFUNCTION("""COMPUTED_VALUE"""),"Ярослав")</f>
        <v>Ярослав</v>
      </c>
      <c r="D11" t="str">
        <f ca="1">IFERROR(__xludf.DUMMYFUNCTION("""COMPUTED_VALUE"""),"Школа 518")</f>
        <v>Школа 518</v>
      </c>
      <c r="E11" s="5">
        <f ca="1">IFERROR(__xludf.DUMMYFUNCTION("""COMPUTED_VALUE"""),7)</f>
        <v>7</v>
      </c>
      <c r="F11" s="5">
        <f ca="1">IFERROR(__xludf.DUMMYFUNCTION("""COMPUTED_VALUE"""),7)</f>
        <v>7</v>
      </c>
      <c r="G11" s="5">
        <f ca="1">IFERROR(__xludf.DUMMYFUNCTION("""COMPUTED_VALUE"""),2)</f>
        <v>2</v>
      </c>
      <c r="H11" s="5">
        <f ca="1">IFERROR(__xludf.DUMMYFUNCTION("""COMPUTED_VALUE"""),7)</f>
        <v>7</v>
      </c>
      <c r="I11" s="5">
        <f ca="1">IFERROR(__xludf.DUMMYFUNCTION("""COMPUTED_VALUE"""),4)</f>
        <v>4</v>
      </c>
      <c r="J11" s="5">
        <f ca="1">IFERROR(__xludf.DUMMYFUNCTION("""COMPUTED_VALUE"""),7)</f>
        <v>7</v>
      </c>
      <c r="K11" s="5">
        <f ca="1">IFERROR(__xludf.DUMMYFUNCTION("""COMPUTED_VALUE"""),0)</f>
        <v>0</v>
      </c>
      <c r="L11" s="5">
        <f ca="1">IFERROR(__xludf.DUMMYFUNCTION("""COMPUTED_VALUE"""),0)</f>
        <v>0</v>
      </c>
      <c r="M11">
        <f ca="1">IFERROR(__xludf.DUMMYFUNCTION("""COMPUTED_VALUE"""),34)</f>
        <v>34</v>
      </c>
      <c r="N11" s="8" t="str">
        <f ca="1">IFERROR(__xludf.DUMMYFUNCTION("""COMPUTED_VALUE"""),"Д2")</f>
        <v>Д2</v>
      </c>
    </row>
    <row r="12" spans="1:27" ht="12.45" hidden="1">
      <c r="A12" t="str">
        <f ca="1">IFERROR(__xludf.DUMMYFUNCTION("""COMPUTED_VALUE"""),"III-4-004")</f>
        <v>III-4-004</v>
      </c>
      <c r="B12" t="str">
        <f ca="1">IFERROR(__xludf.DUMMYFUNCTION("""COMPUTED_VALUE"""),"Авербах")</f>
        <v>Авербах</v>
      </c>
      <c r="C12" t="str">
        <f ca="1">IFERROR(__xludf.DUMMYFUNCTION("""COMPUTED_VALUE"""),"Давид")</f>
        <v>Давид</v>
      </c>
      <c r="D12" t="str">
        <f ca="1">IFERROR(__xludf.DUMMYFUNCTION("""COMPUTED_VALUE"""),"Школа Квадривиум")</f>
        <v>Школа Квадривиум</v>
      </c>
      <c r="E12" s="5">
        <f ca="1">IFERROR(__xludf.DUMMYFUNCTION("""COMPUTED_VALUE"""),2)</f>
        <v>2</v>
      </c>
      <c r="F12" s="5">
        <f ca="1">IFERROR(__xludf.DUMMYFUNCTION("""COMPUTED_VALUE"""),3)</f>
        <v>3</v>
      </c>
      <c r="G12" s="5">
        <f ca="1">IFERROR(__xludf.DUMMYFUNCTION("""COMPUTED_VALUE"""),7)</f>
        <v>7</v>
      </c>
      <c r="H12" s="5"/>
      <c r="I12" s="5">
        <f ca="1">IFERROR(__xludf.DUMMYFUNCTION("""COMPUTED_VALUE"""),7)</f>
        <v>7</v>
      </c>
      <c r="J12" s="5"/>
      <c r="K12" s="5">
        <f ca="1">IFERROR(__xludf.DUMMYFUNCTION("""COMPUTED_VALUE"""),7)</f>
        <v>7</v>
      </c>
      <c r="L12" s="5">
        <f ca="1">IFERROR(__xludf.DUMMYFUNCTION("""COMPUTED_VALUE"""),7)</f>
        <v>7</v>
      </c>
      <c r="M12">
        <f ca="1">IFERROR(__xludf.DUMMYFUNCTION("""COMPUTED_VALUE"""),33)</f>
        <v>33</v>
      </c>
      <c r="N12" s="8" t="str">
        <f ca="1">IFERROR(__xludf.DUMMYFUNCTION("""COMPUTED_VALUE"""),"Д2")</f>
        <v>Д2</v>
      </c>
    </row>
    <row r="13" spans="1:27" ht="12.45" hidden="1">
      <c r="A13" t="str">
        <f ca="1">IFERROR(__xludf.DUMMYFUNCTION("""COMPUTED_VALUE"""),"III-4-110")</f>
        <v>III-4-110</v>
      </c>
      <c r="B13" t="str">
        <f ca="1">IFERROR(__xludf.DUMMYFUNCTION("""COMPUTED_VALUE"""),"Гаврилова")</f>
        <v>Гаврилова</v>
      </c>
      <c r="C13" t="str">
        <f ca="1">IFERROR(__xludf.DUMMYFUNCTION("""COMPUTED_VALUE"""),"Дарья")</f>
        <v>Дарья</v>
      </c>
      <c r="D13" t="str">
        <f ca="1">IFERROR(__xludf.DUMMYFUNCTION("""COMPUTED_VALUE"""),"Лицей 533")</f>
        <v>Лицей 533</v>
      </c>
      <c r="E13" s="5">
        <f ca="1">IFERROR(__xludf.DUMMYFUNCTION("""COMPUTED_VALUE"""),7)</f>
        <v>7</v>
      </c>
      <c r="F13" s="5">
        <f ca="1">IFERROR(__xludf.DUMMYFUNCTION("""COMPUTED_VALUE"""),7)</f>
        <v>7</v>
      </c>
      <c r="G13" s="5">
        <f ca="1">IFERROR(__xludf.DUMMYFUNCTION("""COMPUTED_VALUE"""),2)</f>
        <v>2</v>
      </c>
      <c r="H13" s="5"/>
      <c r="I13" s="5">
        <f ca="1">IFERROR(__xludf.DUMMYFUNCTION("""COMPUTED_VALUE"""),7)</f>
        <v>7</v>
      </c>
      <c r="J13" s="5">
        <f ca="1">IFERROR(__xludf.DUMMYFUNCTION("""COMPUTED_VALUE"""),7)</f>
        <v>7</v>
      </c>
      <c r="K13" s="5"/>
      <c r="L13" s="5">
        <f ca="1">IFERROR(__xludf.DUMMYFUNCTION("""COMPUTED_VALUE"""),2)</f>
        <v>2</v>
      </c>
      <c r="M13">
        <f ca="1">IFERROR(__xludf.DUMMYFUNCTION("""COMPUTED_VALUE"""),32)</f>
        <v>32</v>
      </c>
      <c r="N13" s="8" t="str">
        <f ca="1">IFERROR(__xludf.DUMMYFUNCTION("""COMPUTED_VALUE"""),"Д2")</f>
        <v>Д2</v>
      </c>
    </row>
    <row r="14" spans="1:27" ht="12.45" hidden="1">
      <c r="A14" t="str">
        <f ca="1">IFERROR(__xludf.DUMMYFUNCTION("""COMPUTED_VALUE"""),"V-4-333")</f>
        <v>V-4-333</v>
      </c>
      <c r="B14" t="str">
        <f ca="1">IFERROR(__xludf.DUMMYFUNCTION("""COMPUTED_VALUE"""),"Орёл")</f>
        <v>Орёл</v>
      </c>
      <c r="C14" t="str">
        <f ca="1">IFERROR(__xludf.DUMMYFUNCTION("""COMPUTED_VALUE"""),"Ярослава")</f>
        <v>Ярослава</v>
      </c>
      <c r="D14" t="str">
        <f ca="1">IFERROR(__xludf.DUMMYFUNCTION("""COMPUTED_VALUE"""),"Лицей 150")</f>
        <v>Лицей 150</v>
      </c>
      <c r="E14" s="5">
        <f ca="1">IFERROR(__xludf.DUMMYFUNCTION("""COMPUTED_VALUE"""),7)</f>
        <v>7</v>
      </c>
      <c r="F14" s="5">
        <f ca="1">IFERROR(__xludf.DUMMYFUNCTION("""COMPUTED_VALUE"""),5)</f>
        <v>5</v>
      </c>
      <c r="G14" s="5">
        <f ca="1">IFERROR(__xludf.DUMMYFUNCTION("""COMPUTED_VALUE"""),4)</f>
        <v>4</v>
      </c>
      <c r="H14" s="5">
        <f ca="1">IFERROR(__xludf.DUMMYFUNCTION("""COMPUTED_VALUE"""),0)</f>
        <v>0</v>
      </c>
      <c r="I14" s="5">
        <f ca="1">IFERROR(__xludf.DUMMYFUNCTION("""COMPUTED_VALUE"""),7)</f>
        <v>7</v>
      </c>
      <c r="J14" s="5">
        <f ca="1">IFERROR(__xludf.DUMMYFUNCTION("""COMPUTED_VALUE"""),2)</f>
        <v>2</v>
      </c>
      <c r="K14" s="5">
        <f ca="1">IFERROR(__xludf.DUMMYFUNCTION("""COMPUTED_VALUE"""),0)</f>
        <v>0</v>
      </c>
      <c r="L14" s="5">
        <f ca="1">IFERROR(__xludf.DUMMYFUNCTION("""COMPUTED_VALUE"""),7)</f>
        <v>7</v>
      </c>
      <c r="M14">
        <f ca="1">IFERROR(__xludf.DUMMYFUNCTION("""COMPUTED_VALUE"""),32)</f>
        <v>32</v>
      </c>
      <c r="N14" s="8" t="str">
        <f ca="1">IFERROR(__xludf.DUMMYFUNCTION("""COMPUTED_VALUE"""),"Д2")</f>
        <v>Д2</v>
      </c>
    </row>
    <row r="15" spans="1:27" ht="12.45" hidden="1">
      <c r="A15" t="str">
        <f ca="1">IFERROR(__xludf.DUMMYFUNCTION("""COMPUTED_VALUE"""),"III-4-043")</f>
        <v>III-4-043</v>
      </c>
      <c r="B15" t="str">
        <f ca="1">IFERROR(__xludf.DUMMYFUNCTION("""COMPUTED_VALUE"""),"Беляков")</f>
        <v>Беляков</v>
      </c>
      <c r="C15" t="str">
        <f ca="1">IFERROR(__xludf.DUMMYFUNCTION("""COMPUTED_VALUE"""),"Константин")</f>
        <v>Константин</v>
      </c>
      <c r="D15" t="str">
        <f ca="1">IFERROR(__xludf.DUMMYFUNCTION("""COMPUTED_VALUE"""),"Гимназия 177")</f>
        <v>Гимназия 177</v>
      </c>
      <c r="E15" s="5">
        <f ca="1">IFERROR(__xludf.DUMMYFUNCTION("""COMPUTED_VALUE"""),7)</f>
        <v>7</v>
      </c>
      <c r="F15" s="5">
        <f ca="1">IFERROR(__xludf.DUMMYFUNCTION("""COMPUTED_VALUE"""),7)</f>
        <v>7</v>
      </c>
      <c r="G15" s="5">
        <f ca="1">IFERROR(__xludf.DUMMYFUNCTION("""COMPUTED_VALUE"""),2)</f>
        <v>2</v>
      </c>
      <c r="H15" s="5">
        <f ca="1">IFERROR(__xludf.DUMMYFUNCTION("""COMPUTED_VALUE"""),7)</f>
        <v>7</v>
      </c>
      <c r="I15" s="5">
        <f ca="1">IFERROR(__xludf.DUMMYFUNCTION("""COMPUTED_VALUE"""),5)</f>
        <v>5</v>
      </c>
      <c r="J15" s="5">
        <f ca="1">IFERROR(__xludf.DUMMYFUNCTION("""COMPUTED_VALUE"""),2)</f>
        <v>2</v>
      </c>
      <c r="K15" s="5">
        <f ca="1">IFERROR(__xludf.DUMMYFUNCTION("""COMPUTED_VALUE"""),1)</f>
        <v>1</v>
      </c>
      <c r="L15" s="5"/>
      <c r="M15">
        <f ca="1">IFERROR(__xludf.DUMMYFUNCTION("""COMPUTED_VALUE"""),31)</f>
        <v>31</v>
      </c>
      <c r="N15" s="8" t="str">
        <f ca="1">IFERROR(__xludf.DUMMYFUNCTION("""COMPUTED_VALUE"""),"Д2")</f>
        <v>Д2</v>
      </c>
    </row>
    <row r="16" spans="1:27" ht="12.45" hidden="1">
      <c r="A16" t="str">
        <f ca="1">IFERROR(__xludf.DUMMYFUNCTION("""COMPUTED_VALUE"""),"III-4-134")</f>
        <v>III-4-134</v>
      </c>
      <c r="B16" t="str">
        <f ca="1">IFERROR(__xludf.DUMMYFUNCTION("""COMPUTED_VALUE"""),"Григоренко")</f>
        <v>Григоренко</v>
      </c>
      <c r="C16" t="str">
        <f ca="1">IFERROR(__xludf.DUMMYFUNCTION("""COMPUTED_VALUE"""),"Иван")</f>
        <v>Иван</v>
      </c>
      <c r="D16" t="str">
        <f ca="1">IFERROR(__xludf.DUMMYFUNCTION("""COMPUTED_VALUE"""),"Школа 311")</f>
        <v>Школа 311</v>
      </c>
      <c r="E16" s="5">
        <f ca="1">IFERROR(__xludf.DUMMYFUNCTION("""COMPUTED_VALUE"""),7)</f>
        <v>7</v>
      </c>
      <c r="F16" s="5">
        <f ca="1">IFERROR(__xludf.DUMMYFUNCTION("""COMPUTED_VALUE"""),7)</f>
        <v>7</v>
      </c>
      <c r="G16" s="5">
        <f ca="1">IFERROR(__xludf.DUMMYFUNCTION("""COMPUTED_VALUE"""),3)</f>
        <v>3</v>
      </c>
      <c r="H16" s="5"/>
      <c r="I16" s="5">
        <f ca="1">IFERROR(__xludf.DUMMYFUNCTION("""COMPUTED_VALUE"""),7)</f>
        <v>7</v>
      </c>
      <c r="J16" s="5">
        <f ca="1">IFERROR(__xludf.DUMMYFUNCTION("""COMPUTED_VALUE"""),2)</f>
        <v>2</v>
      </c>
      <c r="K16" s="5">
        <f ca="1">IFERROR(__xludf.DUMMYFUNCTION("""COMPUTED_VALUE"""),5)</f>
        <v>5</v>
      </c>
      <c r="L16" s="5"/>
      <c r="M16">
        <f ca="1">IFERROR(__xludf.DUMMYFUNCTION("""COMPUTED_VALUE"""),31)</f>
        <v>31</v>
      </c>
      <c r="N16" s="8" t="str">
        <f ca="1">IFERROR(__xludf.DUMMYFUNCTION("""COMPUTED_VALUE"""),"Д2")</f>
        <v>Д2</v>
      </c>
    </row>
    <row r="17" spans="1:14" ht="12.45" hidden="1">
      <c r="A17" t="str">
        <f ca="1">IFERROR(__xludf.DUMMYFUNCTION("""COMPUTED_VALUE"""),"V-4-370")</f>
        <v>V-4-370</v>
      </c>
      <c r="B17" t="str">
        <f ca="1">IFERROR(__xludf.DUMMYFUNCTION("""COMPUTED_VALUE"""),"Починский")</f>
        <v>Починский</v>
      </c>
      <c r="C17" t="str">
        <f ca="1">IFERROR(__xludf.DUMMYFUNCTION("""COMPUTED_VALUE"""),"Михаил")</f>
        <v>Михаил</v>
      </c>
      <c r="D17" t="str">
        <f ca="1">IFERROR(__xludf.DUMMYFUNCTION("""COMPUTED_VALUE"""),"Школа 547")</f>
        <v>Школа 547</v>
      </c>
      <c r="E17" s="5">
        <f ca="1">IFERROR(__xludf.DUMMYFUNCTION("""COMPUTED_VALUE"""),7)</f>
        <v>7</v>
      </c>
      <c r="F17" s="5">
        <f ca="1">IFERROR(__xludf.DUMMYFUNCTION("""COMPUTED_VALUE"""),7)</f>
        <v>7</v>
      </c>
      <c r="G17" s="5">
        <f ca="1">IFERROR(__xludf.DUMMYFUNCTION("""COMPUTED_VALUE"""),6)</f>
        <v>6</v>
      </c>
      <c r="H17" s="5">
        <f ca="1">IFERROR(__xludf.DUMMYFUNCTION("""COMPUTED_VALUE"""),5)</f>
        <v>5</v>
      </c>
      <c r="I17" s="5">
        <f ca="1">IFERROR(__xludf.DUMMYFUNCTION("""COMPUTED_VALUE"""),6)</f>
        <v>6</v>
      </c>
      <c r="J17" s="5"/>
      <c r="K17" s="5"/>
      <c r="L17" s="5"/>
      <c r="M17">
        <f ca="1">IFERROR(__xludf.DUMMYFUNCTION("""COMPUTED_VALUE"""),31)</f>
        <v>31</v>
      </c>
      <c r="N17" s="8" t="str">
        <f ca="1">IFERROR(__xludf.DUMMYFUNCTION("""COMPUTED_VALUE"""),"Д2")</f>
        <v>Д2</v>
      </c>
    </row>
    <row r="18" spans="1:14" ht="12.45" hidden="1">
      <c r="A18" t="str">
        <f ca="1">IFERROR(__xludf.DUMMYFUNCTION("""COMPUTED_VALUE"""),"III-4-102")</f>
        <v>III-4-102</v>
      </c>
      <c r="B18" t="str">
        <f ca="1">IFERROR(__xludf.DUMMYFUNCTION("""COMPUTED_VALUE"""),"Воинов")</f>
        <v>Воинов</v>
      </c>
      <c r="C18" t="str">
        <f ca="1">IFERROR(__xludf.DUMMYFUNCTION("""COMPUTED_VALUE"""),"Григорий")</f>
        <v>Григорий</v>
      </c>
      <c r="D18" t="str">
        <f ca="1">IFERROR(__xludf.DUMMYFUNCTION("""COMPUTED_VALUE"""),"Школа 158")</f>
        <v>Школа 158</v>
      </c>
      <c r="E18" s="5">
        <f ca="1">IFERROR(__xludf.DUMMYFUNCTION("""COMPUTED_VALUE"""),7)</f>
        <v>7</v>
      </c>
      <c r="F18" s="5">
        <f ca="1">IFERROR(__xludf.DUMMYFUNCTION("""COMPUTED_VALUE"""),7)</f>
        <v>7</v>
      </c>
      <c r="G18" s="5">
        <f ca="1">IFERROR(__xludf.DUMMYFUNCTION("""COMPUTED_VALUE"""),7)</f>
        <v>7</v>
      </c>
      <c r="H18" s="5"/>
      <c r="I18" s="5">
        <f ca="1">IFERROR(__xludf.DUMMYFUNCTION("""COMPUTED_VALUE"""),7)</f>
        <v>7</v>
      </c>
      <c r="J18" s="5"/>
      <c r="K18" s="5"/>
      <c r="L18" s="5"/>
      <c r="M18">
        <f ca="1">IFERROR(__xludf.DUMMYFUNCTION("""COMPUTED_VALUE"""),28)</f>
        <v>28</v>
      </c>
      <c r="N18" s="8" t="str">
        <f ca="1">IFERROR(__xludf.DUMMYFUNCTION("""COMPUTED_VALUE"""),"Д3")</f>
        <v>Д3</v>
      </c>
    </row>
    <row r="19" spans="1:14" ht="12.45" hidden="1">
      <c r="A19" t="str">
        <f ca="1">IFERROR(__xludf.DUMMYFUNCTION("""COMPUTED_VALUE"""),"III-4-085")</f>
        <v>III-4-085</v>
      </c>
      <c r="B19" t="str">
        <f ca="1">IFERROR(__xludf.DUMMYFUNCTION("""COMPUTED_VALUE"""),"Василевский")</f>
        <v>Василевский</v>
      </c>
      <c r="C19" t="str">
        <f ca="1">IFERROR(__xludf.DUMMYFUNCTION("""COMPUTED_VALUE"""),"Арсений")</f>
        <v>Арсений</v>
      </c>
      <c r="D19" t="str">
        <f ca="1">IFERROR(__xludf.DUMMYFUNCTION("""COMPUTED_VALUE"""),"Гимназия 524")</f>
        <v>Гимназия 524</v>
      </c>
      <c r="E19" s="5">
        <f ca="1">IFERROR(__xludf.DUMMYFUNCTION("""COMPUTED_VALUE"""),7)</f>
        <v>7</v>
      </c>
      <c r="F19" s="5">
        <f ca="1">IFERROR(__xludf.DUMMYFUNCTION("""COMPUTED_VALUE"""),7)</f>
        <v>7</v>
      </c>
      <c r="G19" s="5">
        <f ca="1">IFERROR(__xludf.DUMMYFUNCTION("""COMPUTED_VALUE"""),5)</f>
        <v>5</v>
      </c>
      <c r="H19" s="5">
        <f ca="1">IFERROR(__xludf.DUMMYFUNCTION("""COMPUTED_VALUE"""),4)</f>
        <v>4</v>
      </c>
      <c r="I19" s="5">
        <f ca="1">IFERROR(__xludf.DUMMYFUNCTION("""COMPUTED_VALUE"""),3)</f>
        <v>3</v>
      </c>
      <c r="J19" s="5"/>
      <c r="K19" s="5"/>
      <c r="L19" s="5">
        <f ca="1">IFERROR(__xludf.DUMMYFUNCTION("""COMPUTED_VALUE"""),1)</f>
        <v>1</v>
      </c>
      <c r="M19">
        <f ca="1">IFERROR(__xludf.DUMMYFUNCTION("""COMPUTED_VALUE"""),27)</f>
        <v>27</v>
      </c>
      <c r="N19" s="8" t="str">
        <f ca="1">IFERROR(__xludf.DUMMYFUNCTION("""COMPUTED_VALUE"""),"Д3")</f>
        <v>Д3</v>
      </c>
    </row>
    <row r="20" spans="1:14" ht="12.45" hidden="1">
      <c r="A20" t="str">
        <f ca="1">IFERROR(__xludf.DUMMYFUNCTION("""COMPUTED_VALUE"""),"III-4-109")</f>
        <v>III-4-109</v>
      </c>
      <c r="B20" t="str">
        <f ca="1">IFERROR(__xludf.DUMMYFUNCTION("""COMPUTED_VALUE"""),"Гаврилов")</f>
        <v>Гаврилов</v>
      </c>
      <c r="C20" t="str">
        <f ca="1">IFERROR(__xludf.DUMMYFUNCTION("""COMPUTED_VALUE"""),"Антон")</f>
        <v>Антон</v>
      </c>
      <c r="D20" t="str">
        <f ca="1">IFERROR(__xludf.DUMMYFUNCTION("""COMPUTED_VALUE"""),"Лицей 144")</f>
        <v>Лицей 144</v>
      </c>
      <c r="E20" s="5">
        <f ca="1">IFERROR(__xludf.DUMMYFUNCTION("""COMPUTED_VALUE"""),2)</f>
        <v>2</v>
      </c>
      <c r="F20" s="5">
        <f ca="1">IFERROR(__xludf.DUMMYFUNCTION("""COMPUTED_VALUE"""),3)</f>
        <v>3</v>
      </c>
      <c r="G20" s="5">
        <f ca="1">IFERROR(__xludf.DUMMYFUNCTION("""COMPUTED_VALUE"""),6)</f>
        <v>6</v>
      </c>
      <c r="H20" s="5">
        <f ca="1">IFERROR(__xludf.DUMMYFUNCTION("""COMPUTED_VALUE"""),7)</f>
        <v>7</v>
      </c>
      <c r="I20" s="5">
        <f ca="1">IFERROR(__xludf.DUMMYFUNCTION("""COMPUTED_VALUE"""),5)</f>
        <v>5</v>
      </c>
      <c r="J20" s="5"/>
      <c r="K20" s="5">
        <f ca="1">IFERROR(__xludf.DUMMYFUNCTION("""COMPUTED_VALUE"""),4)</f>
        <v>4</v>
      </c>
      <c r="L20" s="5"/>
      <c r="M20">
        <f ca="1">IFERROR(__xludf.DUMMYFUNCTION("""COMPUTED_VALUE"""),27)</f>
        <v>27</v>
      </c>
      <c r="N20" s="8" t="str">
        <f ca="1">IFERROR(__xludf.DUMMYFUNCTION("""COMPUTED_VALUE"""),"Д3")</f>
        <v>Д3</v>
      </c>
    </row>
    <row r="21" spans="1:14" ht="12.45" hidden="1">
      <c r="A21" t="str">
        <f ca="1">IFERROR(__xludf.DUMMYFUNCTION("""COMPUTED_VALUE"""),"V-4-362")</f>
        <v>V-4-362</v>
      </c>
      <c r="B21" t="str">
        <f ca="1">IFERROR(__xludf.DUMMYFUNCTION("""COMPUTED_VALUE"""),"Полубуткина")</f>
        <v>Полубуткина</v>
      </c>
      <c r="C21" t="str">
        <f ca="1">IFERROR(__xludf.DUMMYFUNCTION("""COMPUTED_VALUE"""),"Анна")</f>
        <v>Анна</v>
      </c>
      <c r="D21" t="str">
        <f ca="1">IFERROR(__xludf.DUMMYFUNCTION("""COMPUTED_VALUE"""),"Гимназия 261")</f>
        <v>Гимназия 261</v>
      </c>
      <c r="E21" s="5">
        <f ca="1">IFERROR(__xludf.DUMMYFUNCTION("""COMPUTED_VALUE"""),7)</f>
        <v>7</v>
      </c>
      <c r="F21" s="5">
        <f ca="1">IFERROR(__xludf.DUMMYFUNCTION("""COMPUTED_VALUE"""),7)</f>
        <v>7</v>
      </c>
      <c r="G21" s="5">
        <f ca="1">IFERROR(__xludf.DUMMYFUNCTION("""COMPUTED_VALUE"""),0)</f>
        <v>0</v>
      </c>
      <c r="H21" s="5">
        <f ca="1">IFERROR(__xludf.DUMMYFUNCTION("""COMPUTED_VALUE"""),7)</f>
        <v>7</v>
      </c>
      <c r="I21" s="5">
        <f ca="1">IFERROR(__xludf.DUMMYFUNCTION("""COMPUTED_VALUE"""),6)</f>
        <v>6</v>
      </c>
      <c r="J21" s="5"/>
      <c r="K21" s="5"/>
      <c r="L21" s="5"/>
      <c r="M21">
        <f ca="1">IFERROR(__xludf.DUMMYFUNCTION("""COMPUTED_VALUE"""),27)</f>
        <v>27</v>
      </c>
      <c r="N21" s="8" t="str">
        <f ca="1">IFERROR(__xludf.DUMMYFUNCTION("""COMPUTED_VALUE"""),"Д3")</f>
        <v>Д3</v>
      </c>
    </row>
    <row r="22" spans="1:14" ht="12.45" hidden="1">
      <c r="A22" t="str">
        <f ca="1">IFERROR(__xludf.DUMMYFUNCTION("""COMPUTED_VALUE"""),"III-4-244")</f>
        <v>III-4-244</v>
      </c>
      <c r="B22" t="str">
        <f ca="1">IFERROR(__xludf.DUMMYFUNCTION("""COMPUTED_VALUE"""),"Кривошапов")</f>
        <v>Кривошапов</v>
      </c>
      <c r="C22" t="str">
        <f ca="1">IFERROR(__xludf.DUMMYFUNCTION("""COMPUTED_VALUE"""),"Владимир")</f>
        <v>Владимир</v>
      </c>
      <c r="D22" t="str">
        <f ca="1">IFERROR(__xludf.DUMMYFUNCTION("""COMPUTED_VALUE"""),"Гимназия 261")</f>
        <v>Гимназия 261</v>
      </c>
      <c r="E22" s="5">
        <f ca="1">IFERROR(__xludf.DUMMYFUNCTION("""COMPUTED_VALUE"""),7)</f>
        <v>7</v>
      </c>
      <c r="F22" s="5">
        <f ca="1">IFERROR(__xludf.DUMMYFUNCTION("""COMPUTED_VALUE"""),3)</f>
        <v>3</v>
      </c>
      <c r="G22" s="5"/>
      <c r="H22" s="5">
        <f ca="1">IFERROR(__xludf.DUMMYFUNCTION("""COMPUTED_VALUE"""),7)</f>
        <v>7</v>
      </c>
      <c r="I22" s="5">
        <f ca="1">IFERROR(__xludf.DUMMYFUNCTION("""COMPUTED_VALUE"""),3)</f>
        <v>3</v>
      </c>
      <c r="J22" s="5"/>
      <c r="K22" s="5"/>
      <c r="L22" s="5">
        <f ca="1">IFERROR(__xludf.DUMMYFUNCTION("""COMPUTED_VALUE"""),6)</f>
        <v>6</v>
      </c>
      <c r="M22">
        <f ca="1">IFERROR(__xludf.DUMMYFUNCTION("""COMPUTED_VALUE"""),26)</f>
        <v>26</v>
      </c>
      <c r="N22" s="8" t="str">
        <f ca="1">IFERROR(__xludf.DUMMYFUNCTION("""COMPUTED_VALUE"""),"Д3")</f>
        <v>Д3</v>
      </c>
    </row>
    <row r="23" spans="1:14" ht="12.45" hidden="1">
      <c r="A23" t="str">
        <f ca="1">IFERROR(__xludf.DUMMYFUNCTION("""COMPUTED_VALUE"""),"V-4-297")</f>
        <v>V-4-297</v>
      </c>
      <c r="B23" t="str">
        <f ca="1">IFERROR(__xludf.DUMMYFUNCTION("""COMPUTED_VALUE"""),"Михеев")</f>
        <v>Михеев</v>
      </c>
      <c r="C23" t="str">
        <f ca="1">IFERROR(__xludf.DUMMYFUNCTION("""COMPUTED_VALUE"""),"Святослав")</f>
        <v>Святослав</v>
      </c>
      <c r="D23" t="str">
        <f ca="1">IFERROR(__xludf.DUMMYFUNCTION("""COMPUTED_VALUE"""),"Гимназия 52")</f>
        <v>Гимназия 52</v>
      </c>
      <c r="E23" s="5">
        <f ca="1">IFERROR(__xludf.DUMMYFUNCTION("""COMPUTED_VALUE"""),7)</f>
        <v>7</v>
      </c>
      <c r="F23" s="5">
        <f ca="1">IFERROR(__xludf.DUMMYFUNCTION("""COMPUTED_VALUE"""),3)</f>
        <v>3</v>
      </c>
      <c r="G23" s="5">
        <f ca="1">IFERROR(__xludf.DUMMYFUNCTION("""COMPUTED_VALUE"""),4)</f>
        <v>4</v>
      </c>
      <c r="H23" s="5">
        <f ca="1">IFERROR(__xludf.DUMMYFUNCTION("""COMPUTED_VALUE"""),7)</f>
        <v>7</v>
      </c>
      <c r="I23" s="5">
        <f ca="1">IFERROR(__xludf.DUMMYFUNCTION("""COMPUTED_VALUE"""),5)</f>
        <v>5</v>
      </c>
      <c r="J23" s="5"/>
      <c r="K23" s="5"/>
      <c r="L23" s="5"/>
      <c r="M23">
        <f ca="1">IFERROR(__xludf.DUMMYFUNCTION("""COMPUTED_VALUE"""),26)</f>
        <v>26</v>
      </c>
      <c r="N23" s="8" t="str">
        <f ca="1">IFERROR(__xludf.DUMMYFUNCTION("""COMPUTED_VALUE"""),"Д3")</f>
        <v>Д3</v>
      </c>
    </row>
    <row r="24" spans="1:14" ht="12.45" hidden="1">
      <c r="A24" t="str">
        <f ca="1">IFERROR(__xludf.DUMMYFUNCTION("""COMPUTED_VALUE"""),"V-4-366")</f>
        <v>V-4-366</v>
      </c>
      <c r="B24" t="str">
        <f ca="1">IFERROR(__xludf.DUMMYFUNCTION("""COMPUTED_VALUE"""),"Попов")</f>
        <v>Попов</v>
      </c>
      <c r="C24" t="str">
        <f ca="1">IFERROR(__xludf.DUMMYFUNCTION("""COMPUTED_VALUE"""),"Алексей")</f>
        <v>Алексей</v>
      </c>
      <c r="D24" t="str">
        <f ca="1">IFERROR(__xludf.DUMMYFUNCTION("""COMPUTED_VALUE"""),"Лицей 144")</f>
        <v>Лицей 144</v>
      </c>
      <c r="E24" s="5">
        <f ca="1">IFERROR(__xludf.DUMMYFUNCTION("""COMPUTED_VALUE"""),7)</f>
        <v>7</v>
      </c>
      <c r="F24" s="5">
        <f ca="1">IFERROR(__xludf.DUMMYFUNCTION("""COMPUTED_VALUE"""),7)</f>
        <v>7</v>
      </c>
      <c r="G24" s="5">
        <f ca="1">IFERROR(__xludf.DUMMYFUNCTION("""COMPUTED_VALUE"""),2)</f>
        <v>2</v>
      </c>
      <c r="H24" s="5">
        <f ca="1">IFERROR(__xludf.DUMMYFUNCTION("""COMPUTED_VALUE"""),0)</f>
        <v>0</v>
      </c>
      <c r="I24" s="5">
        <f ca="1">IFERROR(__xludf.DUMMYFUNCTION("""COMPUTED_VALUE"""),3)</f>
        <v>3</v>
      </c>
      <c r="J24" s="5">
        <f ca="1">IFERROR(__xludf.DUMMYFUNCTION("""COMPUTED_VALUE"""),0)</f>
        <v>0</v>
      </c>
      <c r="K24" s="5">
        <f ca="1">IFERROR(__xludf.DUMMYFUNCTION("""COMPUTED_VALUE"""),0)</f>
        <v>0</v>
      </c>
      <c r="L24" s="5">
        <f ca="1">IFERROR(__xludf.DUMMYFUNCTION("""COMPUTED_VALUE"""),7)</f>
        <v>7</v>
      </c>
      <c r="M24">
        <f ca="1">IFERROR(__xludf.DUMMYFUNCTION("""COMPUTED_VALUE"""),26)</f>
        <v>26</v>
      </c>
      <c r="N24" s="8" t="str">
        <f ca="1">IFERROR(__xludf.DUMMYFUNCTION("""COMPUTED_VALUE"""),"Д3")</f>
        <v>Д3</v>
      </c>
    </row>
    <row r="25" spans="1:14" ht="12.45" hidden="1">
      <c r="A25" t="str">
        <f ca="1">IFERROR(__xludf.DUMMYFUNCTION("""COMPUTED_VALUE"""),"III-4-096")</f>
        <v>III-4-096</v>
      </c>
      <c r="B25" t="str">
        <f ca="1">IFERROR(__xludf.DUMMYFUNCTION("""COMPUTED_VALUE"""),"Виноградов")</f>
        <v>Виноградов</v>
      </c>
      <c r="C25" t="str">
        <f ca="1">IFERROR(__xludf.DUMMYFUNCTION("""COMPUTED_VALUE"""),"Николай")</f>
        <v>Николай</v>
      </c>
      <c r="D25" t="str">
        <f ca="1">IFERROR(__xludf.DUMMYFUNCTION("""COMPUTED_VALUE"""),"Лицей 95")</f>
        <v>Лицей 95</v>
      </c>
      <c r="E25" s="5">
        <f ca="1">IFERROR(__xludf.DUMMYFUNCTION("""COMPUTED_VALUE"""),7)</f>
        <v>7</v>
      </c>
      <c r="F25" s="5">
        <f ca="1">IFERROR(__xludf.DUMMYFUNCTION("""COMPUTED_VALUE"""),5)</f>
        <v>5</v>
      </c>
      <c r="G25" s="5">
        <f ca="1">IFERROR(__xludf.DUMMYFUNCTION("""COMPUTED_VALUE"""),6)</f>
        <v>6</v>
      </c>
      <c r="H25" s="5">
        <f ca="1">IFERROR(__xludf.DUMMYFUNCTION("""COMPUTED_VALUE"""),7)</f>
        <v>7</v>
      </c>
      <c r="I25" s="5"/>
      <c r="J25" s="5"/>
      <c r="K25" s="5"/>
      <c r="L25" s="5"/>
      <c r="M25">
        <f ca="1">IFERROR(__xludf.DUMMYFUNCTION("""COMPUTED_VALUE"""),25)</f>
        <v>25</v>
      </c>
      <c r="N25" s="8" t="str">
        <f ca="1">IFERROR(__xludf.DUMMYFUNCTION("""COMPUTED_VALUE"""),"Д3")</f>
        <v>Д3</v>
      </c>
    </row>
    <row r="26" spans="1:14" ht="12.45" hidden="1">
      <c r="A26" t="str">
        <f ca="1">IFERROR(__xludf.DUMMYFUNCTION("""COMPUTED_VALUE"""),"III-4-058")</f>
        <v>III-4-058</v>
      </c>
      <c r="B26" t="str">
        <f ca="1">IFERROR(__xludf.DUMMYFUNCTION("""COMPUTED_VALUE"""),"Большаков")</f>
        <v>Большаков</v>
      </c>
      <c r="C26" t="str">
        <f ca="1">IFERROR(__xludf.DUMMYFUNCTION("""COMPUTED_VALUE"""),"Арсений")</f>
        <v>Арсений</v>
      </c>
      <c r="D26" t="str">
        <f ca="1">IFERROR(__xludf.DUMMYFUNCTION("""COMPUTED_VALUE"""),"Школа 504")</f>
        <v>Школа 504</v>
      </c>
      <c r="E26" s="5">
        <f ca="1">IFERROR(__xludf.DUMMYFUNCTION("""COMPUTED_VALUE"""),7)</f>
        <v>7</v>
      </c>
      <c r="F26" s="5">
        <f ca="1">IFERROR(__xludf.DUMMYFUNCTION("""COMPUTED_VALUE"""),6)</f>
        <v>6</v>
      </c>
      <c r="G26" s="5">
        <f ca="1">IFERROR(__xludf.DUMMYFUNCTION("""COMPUTED_VALUE"""),4)</f>
        <v>4</v>
      </c>
      <c r="H26" s="5"/>
      <c r="I26" s="5">
        <f ca="1">IFERROR(__xludf.DUMMYFUNCTION("""COMPUTED_VALUE"""),7)</f>
        <v>7</v>
      </c>
      <c r="J26" s="5"/>
      <c r="K26" s="5"/>
      <c r="L26" s="5"/>
      <c r="M26">
        <f ca="1">IFERROR(__xludf.DUMMYFUNCTION("""COMPUTED_VALUE"""),24)</f>
        <v>24</v>
      </c>
      <c r="N26" s="8" t="str">
        <f ca="1">IFERROR(__xludf.DUMMYFUNCTION("""COMPUTED_VALUE"""),"Д3")</f>
        <v>Д3</v>
      </c>
    </row>
    <row r="27" spans="1:14" ht="12.45" hidden="1">
      <c r="A27" t="str">
        <f ca="1">IFERROR(__xludf.DUMMYFUNCTION("""COMPUTED_VALUE"""),"III-4-210")</f>
        <v>III-4-210</v>
      </c>
      <c r="B27" t="str">
        <f ca="1">IFERROR(__xludf.DUMMYFUNCTION("""COMPUTED_VALUE"""),"Каплунова")</f>
        <v>Каплунова</v>
      </c>
      <c r="C27" t="str">
        <f ca="1">IFERROR(__xludf.DUMMYFUNCTION("""COMPUTED_VALUE"""),"Анна")</f>
        <v>Анна</v>
      </c>
      <c r="D27" t="str">
        <f ca="1">IFERROR(__xludf.DUMMYFUNCTION("""COMPUTED_VALUE"""),"Школа 605")</f>
        <v>Школа 605</v>
      </c>
      <c r="E27" s="5">
        <f ca="1">IFERROR(__xludf.DUMMYFUNCTION("""COMPUTED_VALUE"""),7)</f>
        <v>7</v>
      </c>
      <c r="F27" s="5">
        <f ca="1">IFERROR(__xludf.DUMMYFUNCTION("""COMPUTED_VALUE"""),3)</f>
        <v>3</v>
      </c>
      <c r="G27" s="5"/>
      <c r="H27" s="5"/>
      <c r="I27" s="5">
        <f ca="1">IFERROR(__xludf.DUMMYFUNCTION("""COMPUTED_VALUE"""),7)</f>
        <v>7</v>
      </c>
      <c r="J27" s="5"/>
      <c r="K27" s="5"/>
      <c r="L27" s="5">
        <f ca="1">IFERROR(__xludf.DUMMYFUNCTION("""COMPUTED_VALUE"""),7)</f>
        <v>7</v>
      </c>
      <c r="M27">
        <f ca="1">IFERROR(__xludf.DUMMYFUNCTION("""COMPUTED_VALUE"""),24)</f>
        <v>24</v>
      </c>
      <c r="N27" s="8" t="str">
        <f ca="1">IFERROR(__xludf.DUMMYFUNCTION("""COMPUTED_VALUE"""),"Д3")</f>
        <v>Д3</v>
      </c>
    </row>
    <row r="28" spans="1:14" ht="12.45" hidden="1">
      <c r="A28" t="str">
        <f ca="1">IFERROR(__xludf.DUMMYFUNCTION("""COMPUTED_VALUE"""),"V-4-318")</f>
        <v>V-4-318</v>
      </c>
      <c r="B28" t="str">
        <f ca="1">IFERROR(__xludf.DUMMYFUNCTION("""COMPUTED_VALUE"""),"Нестройная")</f>
        <v>Нестройная</v>
      </c>
      <c r="C28" t="str">
        <f ca="1">IFERROR(__xludf.DUMMYFUNCTION("""COMPUTED_VALUE"""),"Валерия")</f>
        <v>Валерия</v>
      </c>
      <c r="D28" t="str">
        <f ca="1">IFERROR(__xludf.DUMMYFUNCTION("""COMPUTED_VALUE"""),"Гимназия 148")</f>
        <v>Гимназия 148</v>
      </c>
      <c r="E28" s="5">
        <f ca="1">IFERROR(__xludf.DUMMYFUNCTION("""COMPUTED_VALUE"""),7)</f>
        <v>7</v>
      </c>
      <c r="F28" s="5"/>
      <c r="G28" s="5">
        <f ca="1">IFERROR(__xludf.DUMMYFUNCTION("""COMPUTED_VALUE"""),2)</f>
        <v>2</v>
      </c>
      <c r="H28" s="5">
        <f ca="1">IFERROR(__xludf.DUMMYFUNCTION("""COMPUTED_VALUE"""),7)</f>
        <v>7</v>
      </c>
      <c r="I28" s="5">
        <f ca="1">IFERROR(__xludf.DUMMYFUNCTION("""COMPUTED_VALUE"""),5)</f>
        <v>5</v>
      </c>
      <c r="J28" s="5">
        <f ca="1">IFERROR(__xludf.DUMMYFUNCTION("""COMPUTED_VALUE"""),3)</f>
        <v>3</v>
      </c>
      <c r="K28" s="5"/>
      <c r="L28" s="5"/>
      <c r="M28">
        <f ca="1">IFERROR(__xludf.DUMMYFUNCTION("""COMPUTED_VALUE"""),24)</f>
        <v>24</v>
      </c>
      <c r="N28" s="8" t="str">
        <f ca="1">IFERROR(__xludf.DUMMYFUNCTION("""COMPUTED_VALUE"""),"Д3")</f>
        <v>Д3</v>
      </c>
    </row>
    <row r="29" spans="1:14" ht="12.45" hidden="1">
      <c r="A29" t="str">
        <f ca="1">IFERROR(__xludf.DUMMYFUNCTION("""COMPUTED_VALUE"""),"V-4-427")</f>
        <v>V-4-427</v>
      </c>
      <c r="B29" t="str">
        <f ca="1">IFERROR(__xludf.DUMMYFUNCTION("""COMPUTED_VALUE"""),"Смирнов")</f>
        <v>Смирнов</v>
      </c>
      <c r="C29" t="str">
        <f ca="1">IFERROR(__xludf.DUMMYFUNCTION("""COMPUTED_VALUE"""),"Арсений")</f>
        <v>Арсений</v>
      </c>
      <c r="D29" t="str">
        <f ca="1">IFERROR(__xludf.DUMMYFUNCTION("""COMPUTED_VALUE"""),"Лицей 329")</f>
        <v>Лицей 329</v>
      </c>
      <c r="E29" s="5">
        <f ca="1">IFERROR(__xludf.DUMMYFUNCTION("""COMPUTED_VALUE"""),7)</f>
        <v>7</v>
      </c>
      <c r="F29" s="5">
        <f ca="1">IFERROR(__xludf.DUMMYFUNCTION("""COMPUTED_VALUE"""),7)</f>
        <v>7</v>
      </c>
      <c r="G29" s="5">
        <f ca="1">IFERROR(__xludf.DUMMYFUNCTION("""COMPUTED_VALUE"""),4)</f>
        <v>4</v>
      </c>
      <c r="H29" s="5">
        <f ca="1">IFERROR(__xludf.DUMMYFUNCTION("""COMPUTED_VALUE"""),0)</f>
        <v>0</v>
      </c>
      <c r="I29" s="5">
        <f ca="1">IFERROR(__xludf.DUMMYFUNCTION("""COMPUTED_VALUE"""),5)</f>
        <v>5</v>
      </c>
      <c r="J29" s="5">
        <f ca="1">IFERROR(__xludf.DUMMYFUNCTION("""COMPUTED_VALUE"""),0)</f>
        <v>0</v>
      </c>
      <c r="K29" s="5">
        <f ca="1">IFERROR(__xludf.DUMMYFUNCTION("""COMPUTED_VALUE"""),1)</f>
        <v>1</v>
      </c>
      <c r="L29" s="5">
        <f ca="1">IFERROR(__xludf.DUMMYFUNCTION("""COMPUTED_VALUE"""),0)</f>
        <v>0</v>
      </c>
      <c r="M29">
        <f ca="1">IFERROR(__xludf.DUMMYFUNCTION("""COMPUTED_VALUE"""),24)</f>
        <v>24</v>
      </c>
      <c r="N29" s="8" t="str">
        <f ca="1">IFERROR(__xludf.DUMMYFUNCTION("""COMPUTED_VALUE"""),"Д3")</f>
        <v>Д3</v>
      </c>
    </row>
    <row r="30" spans="1:14" ht="12.45" hidden="1">
      <c r="A30" t="str">
        <f ca="1">IFERROR(__xludf.DUMMYFUNCTION("""COMPUTED_VALUE"""),"V-4-502")</f>
        <v>V-4-502</v>
      </c>
      <c r="B30" t="str">
        <f ca="1">IFERROR(__xludf.DUMMYFUNCTION("""COMPUTED_VALUE"""),"Шевченко")</f>
        <v>Шевченко</v>
      </c>
      <c r="C30" t="str">
        <f ca="1">IFERROR(__xludf.DUMMYFUNCTION("""COMPUTED_VALUE"""),"Илья")</f>
        <v>Илья</v>
      </c>
      <c r="D30" t="str">
        <f ca="1">IFERROR(__xludf.DUMMYFUNCTION("""COMPUTED_VALUE"""),"Школа 206")</f>
        <v>Школа 206</v>
      </c>
      <c r="E30" s="5">
        <f ca="1">IFERROR(__xludf.DUMMYFUNCTION("""COMPUTED_VALUE"""),7)</f>
        <v>7</v>
      </c>
      <c r="F30" s="5">
        <f ca="1">IFERROR(__xludf.DUMMYFUNCTION("""COMPUTED_VALUE"""),6)</f>
        <v>6</v>
      </c>
      <c r="G30" s="5">
        <f ca="1">IFERROR(__xludf.DUMMYFUNCTION("""COMPUTED_VALUE"""),0)</f>
        <v>0</v>
      </c>
      <c r="H30" s="5">
        <f ca="1">IFERROR(__xludf.DUMMYFUNCTION("""COMPUTED_VALUE"""),7)</f>
        <v>7</v>
      </c>
      <c r="I30" s="5">
        <f ca="1">IFERROR(__xludf.DUMMYFUNCTION("""COMPUTED_VALUE"""),2)</f>
        <v>2</v>
      </c>
      <c r="J30" s="5"/>
      <c r="K30" s="5">
        <f ca="1">IFERROR(__xludf.DUMMYFUNCTION("""COMPUTED_VALUE"""),2)</f>
        <v>2</v>
      </c>
      <c r="L30" s="5">
        <f ca="1">IFERROR(__xludf.DUMMYFUNCTION("""COMPUTED_VALUE"""),0)</f>
        <v>0</v>
      </c>
      <c r="M30">
        <f ca="1">IFERROR(__xludf.DUMMYFUNCTION("""COMPUTED_VALUE"""),24)</f>
        <v>24</v>
      </c>
      <c r="N30" s="8" t="str">
        <f ca="1">IFERROR(__xludf.DUMMYFUNCTION("""COMPUTED_VALUE"""),"Д3")</f>
        <v>Д3</v>
      </c>
    </row>
    <row r="31" spans="1:14" ht="12.45" hidden="1">
      <c r="A31" t="str">
        <f ca="1">IFERROR(__xludf.DUMMYFUNCTION("""COMPUTED_VALUE"""),"V-4-509")</f>
        <v>V-4-509</v>
      </c>
      <c r="B31" t="str">
        <f ca="1">IFERROR(__xludf.DUMMYFUNCTION("""COMPUTED_VALUE"""),"Шитиков")</f>
        <v>Шитиков</v>
      </c>
      <c r="C31" t="str">
        <f ca="1">IFERROR(__xludf.DUMMYFUNCTION("""COMPUTED_VALUE"""),"Михаил")</f>
        <v>Михаил</v>
      </c>
      <c r="D31" t="str">
        <f ca="1">IFERROR(__xludf.DUMMYFUNCTION("""COMPUTED_VALUE"""),"Школа 4 имени Кусто")</f>
        <v>Школа 4 имени Кусто</v>
      </c>
      <c r="E31" s="5">
        <f ca="1">IFERROR(__xludf.DUMMYFUNCTION("""COMPUTED_VALUE"""),7)</f>
        <v>7</v>
      </c>
      <c r="F31" s="5">
        <f ca="1">IFERROR(__xludf.DUMMYFUNCTION("""COMPUTED_VALUE"""),5)</f>
        <v>5</v>
      </c>
      <c r="G31" s="5">
        <f ca="1">IFERROR(__xludf.DUMMYFUNCTION("""COMPUTED_VALUE"""),2)</f>
        <v>2</v>
      </c>
      <c r="H31" s="5"/>
      <c r="I31" s="5">
        <f ca="1">IFERROR(__xludf.DUMMYFUNCTION("""COMPUTED_VALUE"""),2)</f>
        <v>2</v>
      </c>
      <c r="J31" s="5">
        <f ca="1">IFERROR(__xludf.DUMMYFUNCTION("""COMPUTED_VALUE"""),1)</f>
        <v>1</v>
      </c>
      <c r="K31" s="5"/>
      <c r="L31" s="5">
        <f ca="1">IFERROR(__xludf.DUMMYFUNCTION("""COMPUTED_VALUE"""),7)</f>
        <v>7</v>
      </c>
      <c r="M31">
        <f ca="1">IFERROR(__xludf.DUMMYFUNCTION("""COMPUTED_VALUE"""),24)</f>
        <v>24</v>
      </c>
      <c r="N31" s="8" t="str">
        <f ca="1">IFERROR(__xludf.DUMMYFUNCTION("""COMPUTED_VALUE"""),"Д3")</f>
        <v>Д3</v>
      </c>
    </row>
    <row r="32" spans="1:14" ht="12.45" hidden="1">
      <c r="A32" t="str">
        <f ca="1">IFERROR(__xludf.DUMMYFUNCTION("""COMPUTED_VALUE"""),"V-4-520")</f>
        <v>V-4-520</v>
      </c>
      <c r="B32" t="str">
        <f ca="1">IFERROR(__xludf.DUMMYFUNCTION("""COMPUTED_VALUE"""),"Щемелёв")</f>
        <v>Щемелёв</v>
      </c>
      <c r="C32" t="str">
        <f ca="1">IFERROR(__xludf.DUMMYFUNCTION("""COMPUTED_VALUE"""),"Павел")</f>
        <v>Павел</v>
      </c>
      <c r="D32" t="str">
        <f ca="1">IFERROR(__xludf.DUMMYFUNCTION("""COMPUTED_VALUE"""),"Школа 619")</f>
        <v>Школа 619</v>
      </c>
      <c r="E32" s="5">
        <f ca="1">IFERROR(__xludf.DUMMYFUNCTION("""COMPUTED_VALUE"""),7)</f>
        <v>7</v>
      </c>
      <c r="F32" s="5">
        <f ca="1">IFERROR(__xludf.DUMMYFUNCTION("""COMPUTED_VALUE"""),4)</f>
        <v>4</v>
      </c>
      <c r="G32" s="5">
        <f ca="1">IFERROR(__xludf.DUMMYFUNCTION("""COMPUTED_VALUE"""),2)</f>
        <v>2</v>
      </c>
      <c r="H32" s="5">
        <f ca="1">IFERROR(__xludf.DUMMYFUNCTION("""COMPUTED_VALUE"""),7)</f>
        <v>7</v>
      </c>
      <c r="I32" s="5">
        <f ca="1">IFERROR(__xludf.DUMMYFUNCTION("""COMPUTED_VALUE"""),3)</f>
        <v>3</v>
      </c>
      <c r="J32" s="5"/>
      <c r="K32" s="5">
        <f ca="1">IFERROR(__xludf.DUMMYFUNCTION("""COMPUTED_VALUE"""),1)</f>
        <v>1</v>
      </c>
      <c r="L32" s="5">
        <f ca="1">IFERROR(__xludf.DUMMYFUNCTION("""COMPUTED_VALUE"""),0)</f>
        <v>0</v>
      </c>
      <c r="M32">
        <f ca="1">IFERROR(__xludf.DUMMYFUNCTION("""COMPUTED_VALUE"""),24)</f>
        <v>24</v>
      </c>
      <c r="N32" s="8" t="str">
        <f ca="1">IFERROR(__xludf.DUMMYFUNCTION("""COMPUTED_VALUE"""),"Д3")</f>
        <v>Д3</v>
      </c>
    </row>
    <row r="33" spans="1:14" ht="12.45" hidden="1">
      <c r="A33" t="str">
        <f ca="1">IFERROR(__xludf.DUMMYFUNCTION("""COMPUTED_VALUE"""),"III-4-098")</f>
        <v>III-4-098</v>
      </c>
      <c r="B33" t="str">
        <f ca="1">IFERROR(__xludf.DUMMYFUNCTION("""COMPUTED_VALUE"""),"Висневский")</f>
        <v>Висневский</v>
      </c>
      <c r="C33" t="str">
        <f ca="1">IFERROR(__xludf.DUMMYFUNCTION("""COMPUTED_VALUE"""),"Александр")</f>
        <v>Александр</v>
      </c>
      <c r="D33" t="str">
        <f ca="1">IFERROR(__xludf.DUMMYFUNCTION("""COMPUTED_VALUE"""),"Школа 622")</f>
        <v>Школа 622</v>
      </c>
      <c r="E33" s="5">
        <f ca="1">IFERROR(__xludf.DUMMYFUNCTION("""COMPUTED_VALUE"""),7)</f>
        <v>7</v>
      </c>
      <c r="F33" s="5">
        <f ca="1">IFERROR(__xludf.DUMMYFUNCTION("""COMPUTED_VALUE"""),3)</f>
        <v>3</v>
      </c>
      <c r="G33" s="5"/>
      <c r="H33" s="5">
        <f ca="1">IFERROR(__xludf.DUMMYFUNCTION("""COMPUTED_VALUE"""),7)</f>
        <v>7</v>
      </c>
      <c r="I33" s="5">
        <f ca="1">IFERROR(__xludf.DUMMYFUNCTION("""COMPUTED_VALUE"""),6)</f>
        <v>6</v>
      </c>
      <c r="J33" s="5"/>
      <c r="K33" s="5"/>
      <c r="L33" s="5"/>
      <c r="M33">
        <f ca="1">IFERROR(__xludf.DUMMYFUNCTION("""COMPUTED_VALUE"""),23)</f>
        <v>23</v>
      </c>
      <c r="N33" s="8" t="str">
        <f ca="1">IFERROR(__xludf.DUMMYFUNCTION("""COMPUTED_VALUE"""),"Д3")</f>
        <v>Д3</v>
      </c>
    </row>
    <row r="34" spans="1:14" ht="12.45" hidden="1">
      <c r="A34" t="str">
        <f ca="1">IFERROR(__xludf.DUMMYFUNCTION("""COMPUTED_VALUE"""),"V-4-268")</f>
        <v>V-4-268</v>
      </c>
      <c r="B34" t="str">
        <f ca="1">IFERROR(__xludf.DUMMYFUNCTION("""COMPUTED_VALUE"""),"Леко")</f>
        <v>Леко</v>
      </c>
      <c r="C34" t="str">
        <f ca="1">IFERROR(__xludf.DUMMYFUNCTION("""COMPUTED_VALUE"""),"Ольга")</f>
        <v>Ольга</v>
      </c>
      <c r="D34" t="str">
        <f ca="1">IFERROR(__xludf.DUMMYFUNCTION("""COMPUTED_VALUE"""),"Школа 31")</f>
        <v>Школа 31</v>
      </c>
      <c r="E34" s="5">
        <f ca="1">IFERROR(__xludf.DUMMYFUNCTION("""COMPUTED_VALUE"""),2)</f>
        <v>2</v>
      </c>
      <c r="F34" s="5">
        <f ca="1">IFERROR(__xludf.DUMMYFUNCTION("""COMPUTED_VALUE"""),7)</f>
        <v>7</v>
      </c>
      <c r="G34" s="5">
        <f ca="1">IFERROR(__xludf.DUMMYFUNCTION("""COMPUTED_VALUE"""),2)</f>
        <v>2</v>
      </c>
      <c r="H34" s="5"/>
      <c r="I34" s="5">
        <f ca="1">IFERROR(__xludf.DUMMYFUNCTION("""COMPUTED_VALUE"""),6)</f>
        <v>6</v>
      </c>
      <c r="J34" s="5"/>
      <c r="K34" s="5">
        <f ca="1">IFERROR(__xludf.DUMMYFUNCTION("""COMPUTED_VALUE"""),6)</f>
        <v>6</v>
      </c>
      <c r="L34" s="5">
        <f ca="1">IFERROR(__xludf.DUMMYFUNCTION("""COMPUTED_VALUE"""),0)</f>
        <v>0</v>
      </c>
      <c r="M34">
        <f ca="1">IFERROR(__xludf.DUMMYFUNCTION("""COMPUTED_VALUE"""),23)</f>
        <v>23</v>
      </c>
      <c r="N34" s="8" t="str">
        <f ca="1">IFERROR(__xludf.DUMMYFUNCTION("""COMPUTED_VALUE"""),"Д3")</f>
        <v>Д3</v>
      </c>
    </row>
    <row r="35" spans="1:14" ht="12.45" hidden="1">
      <c r="A35" t="str">
        <f ca="1">IFERROR(__xludf.DUMMYFUNCTION("""COMPUTED_VALUE"""),"V-4-357")</f>
        <v>V-4-357</v>
      </c>
      <c r="B35" t="str">
        <f ca="1">IFERROR(__xludf.DUMMYFUNCTION("""COMPUTED_VALUE"""),"Позднякова")</f>
        <v>Позднякова</v>
      </c>
      <c r="C35" t="str">
        <f ca="1">IFERROR(__xludf.DUMMYFUNCTION("""COMPUTED_VALUE"""),"Мариам")</f>
        <v>Мариам</v>
      </c>
      <c r="D35" t="str">
        <f ca="1">IFERROR(__xludf.DUMMYFUNCTION("""COMPUTED_VALUE"""),"Школа 3")</f>
        <v>Школа 3</v>
      </c>
      <c r="E35" s="5">
        <f ca="1">IFERROR(__xludf.DUMMYFUNCTION("""COMPUTED_VALUE"""),7)</f>
        <v>7</v>
      </c>
      <c r="F35" s="5">
        <f ca="1">IFERROR(__xludf.DUMMYFUNCTION("""COMPUTED_VALUE"""),7)</f>
        <v>7</v>
      </c>
      <c r="G35" s="5">
        <f ca="1">IFERROR(__xludf.DUMMYFUNCTION("""COMPUTED_VALUE"""),2)</f>
        <v>2</v>
      </c>
      <c r="H35" s="5"/>
      <c r="I35" s="5">
        <f ca="1">IFERROR(__xludf.DUMMYFUNCTION("""COMPUTED_VALUE"""),7)</f>
        <v>7</v>
      </c>
      <c r="J35" s="5"/>
      <c r="K35" s="5"/>
      <c r="L35" s="5"/>
      <c r="M35">
        <f ca="1">IFERROR(__xludf.DUMMYFUNCTION("""COMPUTED_VALUE"""),23)</f>
        <v>23</v>
      </c>
      <c r="N35" s="8" t="str">
        <f ca="1">IFERROR(__xludf.DUMMYFUNCTION("""COMPUTED_VALUE"""),"Д3")</f>
        <v>Д3</v>
      </c>
    </row>
    <row r="36" spans="1:14" ht="12.45" hidden="1">
      <c r="A36" t="str">
        <f ca="1">IFERROR(__xludf.DUMMYFUNCTION("""COMPUTED_VALUE"""),"III-4-024")</f>
        <v>III-4-024</v>
      </c>
      <c r="B36" t="str">
        <f ca="1">IFERROR(__xludf.DUMMYFUNCTION("""COMPUTED_VALUE"""),"Бакулев")</f>
        <v>Бакулев</v>
      </c>
      <c r="C36" t="str">
        <f ca="1">IFERROR(__xludf.DUMMYFUNCTION("""COMPUTED_VALUE"""),"Александр")</f>
        <v>Александр</v>
      </c>
      <c r="D36" t="str">
        <f ca="1">IFERROR(__xludf.DUMMYFUNCTION("""COMPUTED_VALUE"""),"Школа 531")</f>
        <v>Школа 531</v>
      </c>
      <c r="E36" s="5">
        <f ca="1">IFERROR(__xludf.DUMMYFUNCTION("""COMPUTED_VALUE"""),7)</f>
        <v>7</v>
      </c>
      <c r="F36" s="5">
        <f ca="1">IFERROR(__xludf.DUMMYFUNCTION("""COMPUTED_VALUE"""),7)</f>
        <v>7</v>
      </c>
      <c r="G36" s="5"/>
      <c r="H36" s="5"/>
      <c r="I36" s="5">
        <f ca="1">IFERROR(__xludf.DUMMYFUNCTION("""COMPUTED_VALUE"""),2)</f>
        <v>2</v>
      </c>
      <c r="J36" s="5"/>
      <c r="K36" s="5"/>
      <c r="L36" s="5">
        <f ca="1">IFERROR(__xludf.DUMMYFUNCTION("""COMPUTED_VALUE"""),6)</f>
        <v>6</v>
      </c>
      <c r="M36">
        <f ca="1">IFERROR(__xludf.DUMMYFUNCTION("""COMPUTED_VALUE"""),22)</f>
        <v>22</v>
      </c>
      <c r="N36" s="8" t="str">
        <f ca="1">IFERROR(__xludf.DUMMYFUNCTION("""COMPUTED_VALUE"""),"Д3")</f>
        <v>Д3</v>
      </c>
    </row>
    <row r="37" spans="1:14" ht="12.45" hidden="1">
      <c r="A37" t="str">
        <f ca="1">IFERROR(__xludf.DUMMYFUNCTION("""COMPUTED_VALUE"""),"III-4-039")</f>
        <v>III-4-039</v>
      </c>
      <c r="B37" t="str">
        <f ca="1">IFERROR(__xludf.DUMMYFUNCTION("""COMPUTED_VALUE"""),"Белоцерковцев")</f>
        <v>Белоцерковцев</v>
      </c>
      <c r="C37" t="str">
        <f ca="1">IFERROR(__xludf.DUMMYFUNCTION("""COMPUTED_VALUE"""),"Александр")</f>
        <v>Александр</v>
      </c>
      <c r="D37" t="str">
        <f ca="1">IFERROR(__xludf.DUMMYFUNCTION("""COMPUTED_VALUE"""),"Школа Шостаковичей")</f>
        <v>Школа Шостаковичей</v>
      </c>
      <c r="E37" s="5">
        <f ca="1">IFERROR(__xludf.DUMMYFUNCTION("""COMPUTED_VALUE"""),2)</f>
        <v>2</v>
      </c>
      <c r="F37" s="5">
        <f ca="1">IFERROR(__xludf.DUMMYFUNCTION("""COMPUTED_VALUE"""),7)</f>
        <v>7</v>
      </c>
      <c r="G37" s="5">
        <f ca="1">IFERROR(__xludf.DUMMYFUNCTION("""COMPUTED_VALUE"""),3)</f>
        <v>3</v>
      </c>
      <c r="H37" s="5"/>
      <c r="I37" s="5">
        <f ca="1">IFERROR(__xludf.DUMMYFUNCTION("""COMPUTED_VALUE"""),2)</f>
        <v>2</v>
      </c>
      <c r="J37" s="5">
        <f ca="1">IFERROR(__xludf.DUMMYFUNCTION("""COMPUTED_VALUE"""),2)</f>
        <v>2</v>
      </c>
      <c r="K37" s="5"/>
      <c r="L37" s="5">
        <f ca="1">IFERROR(__xludf.DUMMYFUNCTION("""COMPUTED_VALUE"""),6)</f>
        <v>6</v>
      </c>
      <c r="M37">
        <f ca="1">IFERROR(__xludf.DUMMYFUNCTION("""COMPUTED_VALUE"""),22)</f>
        <v>22</v>
      </c>
      <c r="N37" s="8" t="str">
        <f ca="1">IFERROR(__xludf.DUMMYFUNCTION("""COMPUTED_VALUE"""),"Д3")</f>
        <v>Д3</v>
      </c>
    </row>
    <row r="38" spans="1:14" ht="12.45" hidden="1">
      <c r="A38" t="str">
        <f ca="1">IFERROR(__xludf.DUMMYFUNCTION("""COMPUTED_VALUE"""),"III-4-042")</f>
        <v>III-4-042</v>
      </c>
      <c r="B38" t="str">
        <f ca="1">IFERROR(__xludf.DUMMYFUNCTION("""COMPUTED_VALUE"""),"Беляева")</f>
        <v>Беляева</v>
      </c>
      <c r="C38" t="str">
        <f ca="1">IFERROR(__xludf.DUMMYFUNCTION("""COMPUTED_VALUE"""),"Мария")</f>
        <v>Мария</v>
      </c>
      <c r="D38" t="str">
        <f ca="1">IFERROR(__xludf.DUMMYFUNCTION("""COMPUTED_VALUE"""),"Школа 292")</f>
        <v>Школа 292</v>
      </c>
      <c r="E38" s="5">
        <f ca="1">IFERROR(__xludf.DUMMYFUNCTION("""COMPUTED_VALUE"""),7)</f>
        <v>7</v>
      </c>
      <c r="F38" s="5">
        <f ca="1">IFERROR(__xludf.DUMMYFUNCTION("""COMPUTED_VALUE"""),7)</f>
        <v>7</v>
      </c>
      <c r="G38" s="5">
        <f ca="1">IFERROR(__xludf.DUMMYFUNCTION("""COMPUTED_VALUE"""),2)</f>
        <v>2</v>
      </c>
      <c r="H38" s="5"/>
      <c r="I38" s="5">
        <f ca="1">IFERROR(__xludf.DUMMYFUNCTION("""COMPUTED_VALUE"""),4)</f>
        <v>4</v>
      </c>
      <c r="J38" s="5"/>
      <c r="K38" s="5"/>
      <c r="L38" s="5">
        <f ca="1">IFERROR(__xludf.DUMMYFUNCTION("""COMPUTED_VALUE"""),2)</f>
        <v>2</v>
      </c>
      <c r="M38">
        <f ca="1">IFERROR(__xludf.DUMMYFUNCTION("""COMPUTED_VALUE"""),22)</f>
        <v>22</v>
      </c>
      <c r="N38" s="8" t="str">
        <f ca="1">IFERROR(__xludf.DUMMYFUNCTION("""COMPUTED_VALUE"""),"Д3")</f>
        <v>Д3</v>
      </c>
    </row>
    <row r="39" spans="1:14" ht="12.45" hidden="1">
      <c r="A39" t="str">
        <f ca="1">IFERROR(__xludf.DUMMYFUNCTION("""COMPUTED_VALUE"""),"III-4-164")</f>
        <v>III-4-164</v>
      </c>
      <c r="B39" t="str">
        <f ca="1">IFERROR(__xludf.DUMMYFUNCTION("""COMPUTED_VALUE"""),"Дюба")</f>
        <v>Дюба</v>
      </c>
      <c r="C39" t="str">
        <f ca="1">IFERROR(__xludf.DUMMYFUNCTION("""COMPUTED_VALUE"""),"Никита")</f>
        <v>Никита</v>
      </c>
      <c r="D39" t="str">
        <f ca="1">IFERROR(__xludf.DUMMYFUNCTION("""COMPUTED_VALUE"""),"Гимназия 73")</f>
        <v>Гимназия 73</v>
      </c>
      <c r="E39" s="5">
        <f ca="1">IFERROR(__xludf.DUMMYFUNCTION("""COMPUTED_VALUE"""),7)</f>
        <v>7</v>
      </c>
      <c r="F39" s="5">
        <f ca="1">IFERROR(__xludf.DUMMYFUNCTION("""COMPUTED_VALUE"""),3)</f>
        <v>3</v>
      </c>
      <c r="G39" s="5"/>
      <c r="H39" s="5"/>
      <c r="I39" s="5">
        <f ca="1">IFERROR(__xludf.DUMMYFUNCTION("""COMPUTED_VALUE"""),6)</f>
        <v>6</v>
      </c>
      <c r="J39" s="5"/>
      <c r="K39" s="5"/>
      <c r="L39" s="5">
        <f ca="1">IFERROR(__xludf.DUMMYFUNCTION("""COMPUTED_VALUE"""),6)</f>
        <v>6</v>
      </c>
      <c r="M39">
        <f ca="1">IFERROR(__xludf.DUMMYFUNCTION("""COMPUTED_VALUE"""),22)</f>
        <v>22</v>
      </c>
      <c r="N39" s="8" t="str">
        <f ca="1">IFERROR(__xludf.DUMMYFUNCTION("""COMPUTED_VALUE"""),"Д3")</f>
        <v>Д3</v>
      </c>
    </row>
    <row r="40" spans="1:14" ht="12.45" hidden="1">
      <c r="A40" t="str">
        <f ca="1">IFERROR(__xludf.DUMMYFUNCTION("""COMPUTED_VALUE"""),"V-4-424")</f>
        <v>V-4-424</v>
      </c>
      <c r="B40" t="str">
        <f ca="1">IFERROR(__xludf.DUMMYFUNCTION("""COMPUTED_VALUE"""),"Скориков")</f>
        <v>Скориков</v>
      </c>
      <c r="C40" t="str">
        <f ca="1">IFERROR(__xludf.DUMMYFUNCTION("""COMPUTED_VALUE"""),"Александр")</f>
        <v>Александр</v>
      </c>
      <c r="D40" t="str">
        <f ca="1">IFERROR(__xludf.DUMMYFUNCTION("""COMPUTED_VALUE"""),"Гимназия 63")</f>
        <v>Гимназия 63</v>
      </c>
      <c r="E40" s="5">
        <f ca="1">IFERROR(__xludf.DUMMYFUNCTION("""COMPUTED_VALUE"""),7)</f>
        <v>7</v>
      </c>
      <c r="F40" s="5">
        <f ca="1">IFERROR(__xludf.DUMMYFUNCTION("""COMPUTED_VALUE"""),7)</f>
        <v>7</v>
      </c>
      <c r="G40" s="5">
        <f ca="1">IFERROR(__xludf.DUMMYFUNCTION("""COMPUTED_VALUE"""),0)</f>
        <v>0</v>
      </c>
      <c r="H40" s="5">
        <f ca="1">IFERROR(__xludf.DUMMYFUNCTION("""COMPUTED_VALUE"""),7)</f>
        <v>7</v>
      </c>
      <c r="I40" s="5">
        <f ca="1">IFERROR(__xludf.DUMMYFUNCTION("""COMPUTED_VALUE"""),1)</f>
        <v>1</v>
      </c>
      <c r="J40" s="5"/>
      <c r="K40" s="5">
        <f ca="1">IFERROR(__xludf.DUMMYFUNCTION("""COMPUTED_VALUE"""),0)</f>
        <v>0</v>
      </c>
      <c r="L40" s="5">
        <f ca="1">IFERROR(__xludf.DUMMYFUNCTION("""COMPUTED_VALUE"""),0)</f>
        <v>0</v>
      </c>
      <c r="M40">
        <f ca="1">IFERROR(__xludf.DUMMYFUNCTION("""COMPUTED_VALUE"""),22)</f>
        <v>22</v>
      </c>
      <c r="N40" s="8" t="str">
        <f ca="1">IFERROR(__xludf.DUMMYFUNCTION("""COMPUTED_VALUE"""),"Д3")</f>
        <v>Д3</v>
      </c>
    </row>
    <row r="41" spans="1:14" ht="12.45" hidden="1">
      <c r="A41" t="str">
        <f ca="1">IFERROR(__xludf.DUMMYFUNCTION("""COMPUTED_VALUE"""),"V-4-450")</f>
        <v>V-4-450</v>
      </c>
      <c r="B41" t="str">
        <f ca="1">IFERROR(__xludf.DUMMYFUNCTION("""COMPUTED_VALUE"""),"Суханова")</f>
        <v>Суханова</v>
      </c>
      <c r="C41" t="str">
        <f ca="1">IFERROR(__xludf.DUMMYFUNCTION("""COMPUTED_VALUE"""),"Алиса")</f>
        <v>Алиса</v>
      </c>
      <c r="D41" t="str">
        <f ca="1">IFERROR(__xludf.DUMMYFUNCTION("""COMPUTED_VALUE"""),"Школа Квадривиум")</f>
        <v>Школа Квадривиум</v>
      </c>
      <c r="E41" s="5">
        <f ca="1">IFERROR(__xludf.DUMMYFUNCTION("""COMPUTED_VALUE"""),7)</f>
        <v>7</v>
      </c>
      <c r="F41" s="5">
        <f ca="1">IFERROR(__xludf.DUMMYFUNCTION("""COMPUTED_VALUE"""),4)</f>
        <v>4</v>
      </c>
      <c r="G41" s="5">
        <f ca="1">IFERROR(__xludf.DUMMYFUNCTION("""COMPUTED_VALUE"""),4)</f>
        <v>4</v>
      </c>
      <c r="H41" s="5"/>
      <c r="I41" s="5">
        <f ca="1">IFERROR(__xludf.DUMMYFUNCTION("""COMPUTED_VALUE"""),7)</f>
        <v>7</v>
      </c>
      <c r="J41" s="5"/>
      <c r="K41" s="5"/>
      <c r="L41" s="5"/>
      <c r="M41">
        <f ca="1">IFERROR(__xludf.DUMMYFUNCTION("""COMPUTED_VALUE"""),22)</f>
        <v>22</v>
      </c>
      <c r="N41" s="8" t="str">
        <f ca="1">IFERROR(__xludf.DUMMYFUNCTION("""COMPUTED_VALUE"""),"Д3")</f>
        <v>Д3</v>
      </c>
    </row>
    <row r="42" spans="1:14" ht="12.45" hidden="1">
      <c r="A42" t="str">
        <f ca="1">IFERROR(__xludf.DUMMYFUNCTION("""COMPUTED_VALUE"""),"V-4-465")</f>
        <v>V-4-465</v>
      </c>
      <c r="B42" t="str">
        <f ca="1">IFERROR(__xludf.DUMMYFUNCTION("""COMPUTED_VALUE"""),"Фадеев")</f>
        <v>Фадеев</v>
      </c>
      <c r="C42" t="str">
        <f ca="1">IFERROR(__xludf.DUMMYFUNCTION("""COMPUTED_VALUE"""),"Алексей")</f>
        <v>Алексей</v>
      </c>
      <c r="D42" t="str">
        <f ca="1">IFERROR(__xludf.DUMMYFUNCTION("""COMPUTED_VALUE"""),"Школа 549")</f>
        <v>Школа 549</v>
      </c>
      <c r="E42" s="5">
        <f ca="1">IFERROR(__xludf.DUMMYFUNCTION("""COMPUTED_VALUE"""),7)</f>
        <v>7</v>
      </c>
      <c r="F42" s="5">
        <f ca="1">IFERROR(__xludf.DUMMYFUNCTION("""COMPUTED_VALUE"""),6)</f>
        <v>6</v>
      </c>
      <c r="G42" s="5">
        <f ca="1">IFERROR(__xludf.DUMMYFUNCTION("""COMPUTED_VALUE"""),2)</f>
        <v>2</v>
      </c>
      <c r="H42" s="5">
        <f ca="1">IFERROR(__xludf.DUMMYFUNCTION("""COMPUTED_VALUE"""),0)</f>
        <v>0</v>
      </c>
      <c r="I42" s="5">
        <f ca="1">IFERROR(__xludf.DUMMYFUNCTION("""COMPUTED_VALUE"""),7)</f>
        <v>7</v>
      </c>
      <c r="J42" s="5"/>
      <c r="K42" s="5"/>
      <c r="L42" s="5"/>
      <c r="M42">
        <f ca="1">IFERROR(__xludf.DUMMYFUNCTION("""COMPUTED_VALUE"""),22)</f>
        <v>22</v>
      </c>
      <c r="N42" s="8" t="str">
        <f ca="1">IFERROR(__xludf.DUMMYFUNCTION("""COMPUTED_VALUE"""),"Д3")</f>
        <v>Д3</v>
      </c>
    </row>
    <row r="43" spans="1:14" ht="12.45" hidden="1">
      <c r="A43" t="str">
        <f ca="1">IFERROR(__xludf.DUMMYFUNCTION("""COMPUTED_VALUE"""),"V-4-702")</f>
        <v>V-4-702</v>
      </c>
      <c r="B43" t="str">
        <f ca="1">IFERROR(__xludf.DUMMYFUNCTION("""COMPUTED_VALUE"""),"Фомина")</f>
        <v>Фомина</v>
      </c>
      <c r="C43" t="str">
        <f ca="1">IFERROR(__xludf.DUMMYFUNCTION("""COMPUTED_VALUE"""),"Алиса")</f>
        <v>Алиса</v>
      </c>
      <c r="D43" t="str">
        <f ca="1">IFERROR(__xludf.DUMMYFUNCTION("""COMPUTED_VALUE"""),"Гимназия 42")</f>
        <v>Гимназия 42</v>
      </c>
      <c r="E43" s="5">
        <f ca="1">IFERROR(__xludf.DUMMYFUNCTION("""COMPUTED_VALUE"""),7)</f>
        <v>7</v>
      </c>
      <c r="F43" s="5">
        <f ca="1">IFERROR(__xludf.DUMMYFUNCTION("""COMPUTED_VALUE"""),3)</f>
        <v>3</v>
      </c>
      <c r="G43" s="5">
        <f ca="1">IFERROR(__xludf.DUMMYFUNCTION("""COMPUTED_VALUE"""),2)</f>
        <v>2</v>
      </c>
      <c r="H43" s="5">
        <f ca="1">IFERROR(__xludf.DUMMYFUNCTION("""COMPUTED_VALUE"""),7)</f>
        <v>7</v>
      </c>
      <c r="I43" s="5">
        <f ca="1">IFERROR(__xludf.DUMMYFUNCTION("""COMPUTED_VALUE"""),3)</f>
        <v>3</v>
      </c>
      <c r="J43" s="5"/>
      <c r="K43" s="5"/>
      <c r="L43" s="5"/>
      <c r="M43">
        <f ca="1">IFERROR(__xludf.DUMMYFUNCTION("""COMPUTED_VALUE"""),22)</f>
        <v>22</v>
      </c>
      <c r="N43" s="8" t="str">
        <f ca="1">IFERROR(__xludf.DUMMYFUNCTION("""COMPUTED_VALUE"""),"Д3")</f>
        <v>Д3</v>
      </c>
    </row>
    <row r="44" spans="1:14" ht="12.45" hidden="1">
      <c r="A44" t="str">
        <f ca="1">IFERROR(__xludf.DUMMYFUNCTION("""COMPUTED_VALUE"""),"III-4-223")</f>
        <v>III-4-223</v>
      </c>
      <c r="B44" t="str">
        <f ca="1">IFERROR(__xludf.DUMMYFUNCTION("""COMPUTED_VALUE"""),"Кичин")</f>
        <v>Кичин</v>
      </c>
      <c r="C44" t="str">
        <f ca="1">IFERROR(__xludf.DUMMYFUNCTION("""COMPUTED_VALUE"""),"Александр")</f>
        <v>Александр</v>
      </c>
      <c r="D44" t="str">
        <f ca="1">IFERROR(__xludf.DUMMYFUNCTION("""COMPUTED_VALUE"""),"Школа 636")</f>
        <v>Школа 636</v>
      </c>
      <c r="E44" s="5">
        <f ca="1">IFERROR(__xludf.DUMMYFUNCTION("""COMPUTED_VALUE"""),7)</f>
        <v>7</v>
      </c>
      <c r="F44" s="5">
        <f ca="1">IFERROR(__xludf.DUMMYFUNCTION("""COMPUTED_VALUE"""),7)</f>
        <v>7</v>
      </c>
      <c r="G44" s="5">
        <f ca="1">IFERROR(__xludf.DUMMYFUNCTION("""COMPUTED_VALUE"""),4)</f>
        <v>4</v>
      </c>
      <c r="H44" s="5"/>
      <c r="I44" s="5">
        <f ca="1">IFERROR(__xludf.DUMMYFUNCTION("""COMPUTED_VALUE"""),2)</f>
        <v>2</v>
      </c>
      <c r="J44" s="5"/>
      <c r="K44" s="5">
        <f ca="1">IFERROR(__xludf.DUMMYFUNCTION("""COMPUTED_VALUE"""),1)</f>
        <v>1</v>
      </c>
      <c r="L44" s="5"/>
      <c r="M44">
        <f ca="1">IFERROR(__xludf.DUMMYFUNCTION("""COMPUTED_VALUE"""),21)</f>
        <v>21</v>
      </c>
      <c r="N44" s="8" t="str">
        <f ca="1">IFERROR(__xludf.DUMMYFUNCTION("""COMPUTED_VALUE"""),"Д3")</f>
        <v>Д3</v>
      </c>
    </row>
    <row r="45" spans="1:14" ht="12.45" hidden="1">
      <c r="A45" t="str">
        <f ca="1">IFERROR(__xludf.DUMMYFUNCTION("""COMPUTED_VALUE"""),"V-4-281")</f>
        <v>V-4-281</v>
      </c>
      <c r="B45" t="str">
        <f ca="1">IFERROR(__xludf.DUMMYFUNCTION("""COMPUTED_VALUE"""),"Малахова")</f>
        <v>Малахова</v>
      </c>
      <c r="C45" t="str">
        <f ca="1">IFERROR(__xludf.DUMMYFUNCTION("""COMPUTED_VALUE"""),"Анастасия")</f>
        <v>Анастасия</v>
      </c>
      <c r="D45" t="str">
        <f ca="1">IFERROR(__xludf.DUMMYFUNCTION("""COMPUTED_VALUE"""),"Лицей Аничков")</f>
        <v>Лицей Аничков</v>
      </c>
      <c r="E45" s="5">
        <f ca="1">IFERROR(__xludf.DUMMYFUNCTION("""COMPUTED_VALUE"""),7)</f>
        <v>7</v>
      </c>
      <c r="F45" s="5">
        <f ca="1">IFERROR(__xludf.DUMMYFUNCTION("""COMPUTED_VALUE"""),7)</f>
        <v>7</v>
      </c>
      <c r="G45" s="5">
        <f ca="1">IFERROR(__xludf.DUMMYFUNCTION("""COMPUTED_VALUE"""),3)</f>
        <v>3</v>
      </c>
      <c r="H45" s="5">
        <f ca="1">IFERROR(__xludf.DUMMYFUNCTION("""COMPUTED_VALUE"""),0)</f>
        <v>0</v>
      </c>
      <c r="I45" s="5">
        <f ca="1">IFERROR(__xludf.DUMMYFUNCTION("""COMPUTED_VALUE"""),4)</f>
        <v>4</v>
      </c>
      <c r="J45" s="5"/>
      <c r="K45" s="5"/>
      <c r="L45" s="5"/>
      <c r="M45">
        <f ca="1">IFERROR(__xludf.DUMMYFUNCTION("""COMPUTED_VALUE"""),21)</f>
        <v>21</v>
      </c>
      <c r="N45" s="8" t="str">
        <f ca="1">IFERROR(__xludf.DUMMYFUNCTION("""COMPUTED_VALUE"""),"Д3")</f>
        <v>Д3</v>
      </c>
    </row>
    <row r="46" spans="1:14" ht="12.45">
      <c r="A46" t="str">
        <f ca="1">IFERROR(__xludf.DUMMYFUNCTION("""COMPUTED_VALUE"""),"V-4-387")</f>
        <v>V-4-387</v>
      </c>
      <c r="B46" t="str">
        <f ca="1">IFERROR(__xludf.DUMMYFUNCTION("""COMPUTED_VALUE"""),"Ри")</f>
        <v>Ри</v>
      </c>
      <c r="C46" t="str">
        <f ca="1">IFERROR(__xludf.DUMMYFUNCTION("""COMPUTED_VALUE"""),"Ярослав")</f>
        <v>Ярослав</v>
      </c>
      <c r="D46" t="str">
        <f ca="1">IFERROR(__xludf.DUMMYFUNCTION("""COMPUTED_VALUE"""),"Гимназия Лингвистическая гимназия 3")</f>
        <v>Гимназия Лингвистическая гимназия 3</v>
      </c>
      <c r="E46" s="5">
        <f ca="1">IFERROR(__xludf.DUMMYFUNCTION("""COMPUTED_VALUE"""),7)</f>
        <v>7</v>
      </c>
      <c r="F46" s="5">
        <f ca="1">IFERROR(__xludf.DUMMYFUNCTION("""COMPUTED_VALUE"""),3)</f>
        <v>3</v>
      </c>
      <c r="G46" s="5">
        <f ca="1">IFERROR(__xludf.DUMMYFUNCTION("""COMPUTED_VALUE"""),2)</f>
        <v>2</v>
      </c>
      <c r="H46" s="5">
        <f ca="1">IFERROR(__xludf.DUMMYFUNCTION("""COMPUTED_VALUE"""),7)</f>
        <v>7</v>
      </c>
      <c r="I46" s="5">
        <f ca="1">IFERROR(__xludf.DUMMYFUNCTION("""COMPUTED_VALUE"""),2)</f>
        <v>2</v>
      </c>
      <c r="J46" s="5"/>
      <c r="K46" s="5"/>
      <c r="L46" s="5"/>
      <c r="M46">
        <f ca="1">IFERROR(__xludf.DUMMYFUNCTION("""COMPUTED_VALUE"""),21)</f>
        <v>21</v>
      </c>
      <c r="N46" s="8" t="str">
        <f ca="1">IFERROR(__xludf.DUMMYFUNCTION("""COMPUTED_VALUE"""),"Д3")</f>
        <v>Д3</v>
      </c>
    </row>
    <row r="47" spans="1:14" ht="12.45" hidden="1">
      <c r="A47" t="str">
        <f ca="1">IFERROR(__xludf.DUMMYFUNCTION("""COMPUTED_VALUE"""),"V-4-489")</f>
        <v>V-4-489</v>
      </c>
      <c r="B47" t="str">
        <f ca="1">IFERROR(__xludf.DUMMYFUNCTION("""COMPUTED_VALUE"""),"Черняк")</f>
        <v>Черняк</v>
      </c>
      <c r="C47" t="str">
        <f ca="1">IFERROR(__xludf.DUMMYFUNCTION("""COMPUTED_VALUE"""),"Тимур")</f>
        <v>Тимур</v>
      </c>
      <c r="D47" t="str">
        <f ca="1">IFERROR(__xludf.DUMMYFUNCTION("""COMPUTED_VALUE"""),"Лицей 393")</f>
        <v>Лицей 393</v>
      </c>
      <c r="E47" s="5">
        <f ca="1">IFERROR(__xludf.DUMMYFUNCTION("""COMPUTED_VALUE"""),0)</f>
        <v>0</v>
      </c>
      <c r="F47" s="5">
        <f ca="1">IFERROR(__xludf.DUMMYFUNCTION("""COMPUTED_VALUE"""),7)</f>
        <v>7</v>
      </c>
      <c r="G47" s="5">
        <f ca="1">IFERROR(__xludf.DUMMYFUNCTION("""COMPUTED_VALUE"""),7)</f>
        <v>7</v>
      </c>
      <c r="H47" s="5">
        <f ca="1">IFERROR(__xludf.DUMMYFUNCTION("""COMPUTED_VALUE"""),0)</f>
        <v>0</v>
      </c>
      <c r="I47" s="5">
        <f ca="1">IFERROR(__xludf.DUMMYFUNCTION("""COMPUTED_VALUE"""),7)</f>
        <v>7</v>
      </c>
      <c r="J47" s="5"/>
      <c r="K47" s="5"/>
      <c r="L47" s="5"/>
      <c r="M47">
        <f ca="1">IFERROR(__xludf.DUMMYFUNCTION("""COMPUTED_VALUE"""),21)</f>
        <v>21</v>
      </c>
      <c r="N47" s="8" t="str">
        <f ca="1">IFERROR(__xludf.DUMMYFUNCTION("""COMPUTED_VALUE"""),"Д3")</f>
        <v>Д3</v>
      </c>
    </row>
    <row r="48" spans="1:14" ht="12.45" hidden="1">
      <c r="A48" t="str">
        <f ca="1">IFERROR(__xludf.DUMMYFUNCTION("""COMPUTED_VALUE"""),"III-4-057")</f>
        <v>III-4-057</v>
      </c>
      <c r="B48" t="str">
        <f ca="1">IFERROR(__xludf.DUMMYFUNCTION("""COMPUTED_VALUE"""),"Большаков")</f>
        <v>Большаков</v>
      </c>
      <c r="C48" t="str">
        <f ca="1">IFERROR(__xludf.DUMMYFUNCTION("""COMPUTED_VALUE"""),"Всеволод")</f>
        <v>Всеволод</v>
      </c>
      <c r="D48" t="str">
        <f ca="1">IFERROR(__xludf.DUMMYFUNCTION("""COMPUTED_VALUE"""),"Гимназия 316")</f>
        <v>Гимназия 316</v>
      </c>
      <c r="E48" s="5">
        <f ca="1">IFERROR(__xludf.DUMMYFUNCTION("""COMPUTED_VALUE"""),7)</f>
        <v>7</v>
      </c>
      <c r="F48" s="5">
        <f ca="1">IFERROR(__xludf.DUMMYFUNCTION("""COMPUTED_VALUE"""),7)</f>
        <v>7</v>
      </c>
      <c r="G48" s="5"/>
      <c r="H48" s="5"/>
      <c r="I48" s="5">
        <f ca="1">IFERROR(__xludf.DUMMYFUNCTION("""COMPUTED_VALUE"""),6)</f>
        <v>6</v>
      </c>
      <c r="J48" s="5"/>
      <c r="K48" s="5"/>
      <c r="L48" s="5"/>
      <c r="M48">
        <f ca="1">IFERROR(__xludf.DUMMYFUNCTION("""COMPUTED_VALUE"""),20)</f>
        <v>20</v>
      </c>
      <c r="N48" s="8" t="str">
        <f ca="1">IFERROR(__xludf.DUMMYFUNCTION("""COMPUTED_VALUE"""),"Д3")</f>
        <v>Д3</v>
      </c>
    </row>
    <row r="49" spans="1:14" ht="12.45" hidden="1">
      <c r="A49" t="str">
        <f ca="1">IFERROR(__xludf.DUMMYFUNCTION("""COMPUTED_VALUE"""),"III-4-076")</f>
        <v>III-4-076</v>
      </c>
      <c r="B49" t="str">
        <f ca="1">IFERROR(__xludf.DUMMYFUNCTION("""COMPUTED_VALUE"""),"Бушля")</f>
        <v>Бушля</v>
      </c>
      <c r="C49" t="str">
        <f ca="1">IFERROR(__xludf.DUMMYFUNCTION("""COMPUTED_VALUE"""),"Фёдор")</f>
        <v>Фёдор</v>
      </c>
      <c r="D49" t="str">
        <f ca="1">IFERROR(__xludf.DUMMYFUNCTION("""COMPUTED_VALUE"""),"Лицей 126")</f>
        <v>Лицей 126</v>
      </c>
      <c r="E49" s="5">
        <f ca="1">IFERROR(__xludf.DUMMYFUNCTION("""COMPUTED_VALUE"""),7)</f>
        <v>7</v>
      </c>
      <c r="F49" s="5">
        <f ca="1">IFERROR(__xludf.DUMMYFUNCTION("""COMPUTED_VALUE"""),3)</f>
        <v>3</v>
      </c>
      <c r="G49" s="5">
        <f ca="1">IFERROR(__xludf.DUMMYFUNCTION("""COMPUTED_VALUE"""),2)</f>
        <v>2</v>
      </c>
      <c r="H49" s="5">
        <f ca="1">IFERROR(__xludf.DUMMYFUNCTION("""COMPUTED_VALUE"""),7)</f>
        <v>7</v>
      </c>
      <c r="I49" s="5">
        <f ca="1">IFERROR(__xludf.DUMMYFUNCTION("""COMPUTED_VALUE"""),1)</f>
        <v>1</v>
      </c>
      <c r="J49" s="5"/>
      <c r="K49" s="5"/>
      <c r="L49" s="5"/>
      <c r="M49">
        <f ca="1">IFERROR(__xludf.DUMMYFUNCTION("""COMPUTED_VALUE"""),20)</f>
        <v>20</v>
      </c>
      <c r="N49" s="8" t="str">
        <f ca="1">IFERROR(__xludf.DUMMYFUNCTION("""COMPUTED_VALUE"""),"Д3")</f>
        <v>Д3</v>
      </c>
    </row>
    <row r="50" spans="1:14" ht="12.45" hidden="1">
      <c r="A50" t="str">
        <f ca="1">IFERROR(__xludf.DUMMYFUNCTION("""COMPUTED_VALUE"""),"III-4-101")</f>
        <v>III-4-101</v>
      </c>
      <c r="B50" t="str">
        <f ca="1">IFERROR(__xludf.DUMMYFUNCTION("""COMPUTED_VALUE"""),"Власова")</f>
        <v>Власова</v>
      </c>
      <c r="C50" t="str">
        <f ca="1">IFERROR(__xludf.DUMMYFUNCTION("""COMPUTED_VALUE"""),"Эрика")</f>
        <v>Эрика</v>
      </c>
      <c r="D50" t="str">
        <f ca="1">IFERROR(__xludf.DUMMYFUNCTION("""COMPUTED_VALUE"""),"Школа 249")</f>
        <v>Школа 249</v>
      </c>
      <c r="E50" s="5">
        <f ca="1">IFERROR(__xludf.DUMMYFUNCTION("""COMPUTED_VALUE"""),2)</f>
        <v>2</v>
      </c>
      <c r="F50" s="5">
        <f ca="1">IFERROR(__xludf.DUMMYFUNCTION("""COMPUTED_VALUE"""),7)</f>
        <v>7</v>
      </c>
      <c r="G50" s="5">
        <f ca="1">IFERROR(__xludf.DUMMYFUNCTION("""COMPUTED_VALUE"""),1)</f>
        <v>1</v>
      </c>
      <c r="H50" s="5">
        <f ca="1">IFERROR(__xludf.DUMMYFUNCTION("""COMPUTED_VALUE"""),7)</f>
        <v>7</v>
      </c>
      <c r="I50" s="5">
        <f ca="1">IFERROR(__xludf.DUMMYFUNCTION("""COMPUTED_VALUE"""),3)</f>
        <v>3</v>
      </c>
      <c r="J50" s="5"/>
      <c r="K50" s="5"/>
      <c r="L50" s="5"/>
      <c r="M50">
        <f ca="1">IFERROR(__xludf.DUMMYFUNCTION("""COMPUTED_VALUE"""),20)</f>
        <v>20</v>
      </c>
      <c r="N50" s="8" t="str">
        <f ca="1">IFERROR(__xludf.DUMMYFUNCTION("""COMPUTED_VALUE"""),"Д3")</f>
        <v>Д3</v>
      </c>
    </row>
    <row r="51" spans="1:14" ht="12.45" hidden="1">
      <c r="A51" t="str">
        <f ca="1">IFERROR(__xludf.DUMMYFUNCTION("""COMPUTED_VALUE"""),"III-4-211")</f>
        <v>III-4-211</v>
      </c>
      <c r="B51" t="str">
        <f ca="1">IFERROR(__xludf.DUMMYFUNCTION("""COMPUTED_VALUE"""),"Каптигулов")</f>
        <v>Каптигулов</v>
      </c>
      <c r="C51" t="str">
        <f ca="1">IFERROR(__xludf.DUMMYFUNCTION("""COMPUTED_VALUE"""),"Анатолий")</f>
        <v>Анатолий</v>
      </c>
      <c r="D51" t="str">
        <f ca="1">IFERROR(__xludf.DUMMYFUNCTION("""COMPUTED_VALUE"""),"Школа 625")</f>
        <v>Школа 625</v>
      </c>
      <c r="E51" s="5"/>
      <c r="F51" s="5">
        <f ca="1">IFERROR(__xludf.DUMMYFUNCTION("""COMPUTED_VALUE"""),7)</f>
        <v>7</v>
      </c>
      <c r="G51" s="5">
        <f ca="1">IFERROR(__xludf.DUMMYFUNCTION("""COMPUTED_VALUE"""),3)</f>
        <v>3</v>
      </c>
      <c r="H51" s="5">
        <f ca="1">IFERROR(__xludf.DUMMYFUNCTION("""COMPUTED_VALUE"""),7)</f>
        <v>7</v>
      </c>
      <c r="I51" s="5">
        <f ca="1">IFERROR(__xludf.DUMMYFUNCTION("""COMPUTED_VALUE"""),3)</f>
        <v>3</v>
      </c>
      <c r="J51" s="5"/>
      <c r="K51" s="5"/>
      <c r="L51" s="5"/>
      <c r="M51">
        <f ca="1">IFERROR(__xludf.DUMMYFUNCTION("""COMPUTED_VALUE"""),20)</f>
        <v>20</v>
      </c>
      <c r="N51" s="8" t="str">
        <f ca="1">IFERROR(__xludf.DUMMYFUNCTION("""COMPUTED_VALUE"""),"Д3")</f>
        <v>Д3</v>
      </c>
    </row>
    <row r="52" spans="1:14" ht="12.45" hidden="1">
      <c r="A52" t="str">
        <f ca="1">IFERROR(__xludf.DUMMYFUNCTION("""COMPUTED_VALUE"""),"III-4-228")</f>
        <v>III-4-228</v>
      </c>
      <c r="B52" t="str">
        <f ca="1">IFERROR(__xludf.DUMMYFUNCTION("""COMPUTED_VALUE"""),"Козлова")</f>
        <v>Козлова</v>
      </c>
      <c r="C52" t="str">
        <f ca="1">IFERROR(__xludf.DUMMYFUNCTION("""COMPUTED_VALUE"""),"Елизавета")</f>
        <v>Елизавета</v>
      </c>
      <c r="D52" t="str">
        <f ca="1">IFERROR(__xludf.DUMMYFUNCTION("""COMPUTED_VALUE"""),"Школа 100")</f>
        <v>Школа 100</v>
      </c>
      <c r="E52" s="5">
        <f ca="1">IFERROR(__xludf.DUMMYFUNCTION("""COMPUTED_VALUE"""),2)</f>
        <v>2</v>
      </c>
      <c r="F52" s="5">
        <f ca="1">IFERROR(__xludf.DUMMYFUNCTION("""COMPUTED_VALUE"""),7)</f>
        <v>7</v>
      </c>
      <c r="G52" s="5">
        <f ca="1">IFERROR(__xludf.DUMMYFUNCTION("""COMPUTED_VALUE"""),2)</f>
        <v>2</v>
      </c>
      <c r="H52" s="5">
        <f ca="1">IFERROR(__xludf.DUMMYFUNCTION("""COMPUTED_VALUE"""),7)</f>
        <v>7</v>
      </c>
      <c r="I52" s="5">
        <f ca="1">IFERROR(__xludf.DUMMYFUNCTION("""COMPUTED_VALUE"""),2)</f>
        <v>2</v>
      </c>
      <c r="J52" s="5"/>
      <c r="K52" s="5"/>
      <c r="L52" s="5"/>
      <c r="M52">
        <f ca="1">IFERROR(__xludf.DUMMYFUNCTION("""COMPUTED_VALUE"""),20)</f>
        <v>20</v>
      </c>
      <c r="N52" s="8" t="str">
        <f ca="1">IFERROR(__xludf.DUMMYFUNCTION("""COMPUTED_VALUE"""),"Д3")</f>
        <v>Д3</v>
      </c>
    </row>
    <row r="53" spans="1:14" ht="12.45" hidden="1">
      <c r="A53" t="str">
        <f ca="1">IFERROR(__xludf.DUMMYFUNCTION("""COMPUTED_VALUE"""),"V-4-274")</f>
        <v>V-4-274</v>
      </c>
      <c r="B53" t="str">
        <f ca="1">IFERROR(__xludf.DUMMYFUNCTION("""COMPUTED_VALUE"""),"Лудзский")</f>
        <v>Лудзский</v>
      </c>
      <c r="C53" t="str">
        <f ca="1">IFERROR(__xludf.DUMMYFUNCTION("""COMPUTED_VALUE"""),"Матвей")</f>
        <v>Матвей</v>
      </c>
      <c r="D53" t="str">
        <f ca="1">IFERROR(__xludf.DUMMYFUNCTION("""COMPUTED_VALUE"""),"Лицей 470")</f>
        <v>Лицей 470</v>
      </c>
      <c r="E53" s="5">
        <f ca="1">IFERROR(__xludf.DUMMYFUNCTION("""COMPUTED_VALUE"""),7)</f>
        <v>7</v>
      </c>
      <c r="F53" s="5">
        <f ca="1">IFERROR(__xludf.DUMMYFUNCTION("""COMPUTED_VALUE"""),6)</f>
        <v>6</v>
      </c>
      <c r="G53" s="5">
        <f ca="1">IFERROR(__xludf.DUMMYFUNCTION("""COMPUTED_VALUE"""),2)</f>
        <v>2</v>
      </c>
      <c r="H53" s="5">
        <f ca="1">IFERROR(__xludf.DUMMYFUNCTION("""COMPUTED_VALUE"""),0)</f>
        <v>0</v>
      </c>
      <c r="I53" s="5">
        <f ca="1">IFERROR(__xludf.DUMMYFUNCTION("""COMPUTED_VALUE"""),3)</f>
        <v>3</v>
      </c>
      <c r="J53" s="5"/>
      <c r="K53" s="5"/>
      <c r="L53" s="5">
        <f ca="1">IFERROR(__xludf.DUMMYFUNCTION("""COMPUTED_VALUE"""),2)</f>
        <v>2</v>
      </c>
      <c r="M53">
        <f ca="1">IFERROR(__xludf.DUMMYFUNCTION("""COMPUTED_VALUE"""),20)</f>
        <v>20</v>
      </c>
      <c r="N53" s="8" t="str">
        <f ca="1">IFERROR(__xludf.DUMMYFUNCTION("""COMPUTED_VALUE"""),"Д3")</f>
        <v>Д3</v>
      </c>
    </row>
    <row r="54" spans="1:14" ht="12.45" hidden="1">
      <c r="A54" t="str">
        <f ca="1">IFERROR(__xludf.DUMMYFUNCTION("""COMPUTED_VALUE"""),"V-4-391")</f>
        <v>V-4-391</v>
      </c>
      <c r="B54" t="str">
        <f ca="1">IFERROR(__xludf.DUMMYFUNCTION("""COMPUTED_VALUE"""),"Роист")</f>
        <v>Роист</v>
      </c>
      <c r="C54" t="str">
        <f ca="1">IFERROR(__xludf.DUMMYFUNCTION("""COMPUTED_VALUE"""),"Александр")</f>
        <v>Александр</v>
      </c>
      <c r="D54" t="str">
        <f ca="1">IFERROR(__xludf.DUMMYFUNCTION("""COMPUTED_VALUE"""),"Школа 13")</f>
        <v>Школа 13</v>
      </c>
      <c r="E54" s="5">
        <f ca="1">IFERROR(__xludf.DUMMYFUNCTION("""COMPUTED_VALUE"""),7)</f>
        <v>7</v>
      </c>
      <c r="F54" s="5">
        <f ca="1">IFERROR(__xludf.DUMMYFUNCTION("""COMPUTED_VALUE"""),6)</f>
        <v>6</v>
      </c>
      <c r="G54" s="5"/>
      <c r="H54" s="5">
        <f ca="1">IFERROR(__xludf.DUMMYFUNCTION("""COMPUTED_VALUE"""),1)</f>
        <v>1</v>
      </c>
      <c r="I54" s="5">
        <f ca="1">IFERROR(__xludf.DUMMYFUNCTION("""COMPUTED_VALUE"""),4)</f>
        <v>4</v>
      </c>
      <c r="J54" s="5"/>
      <c r="K54" s="5"/>
      <c r="L54" s="5">
        <f ca="1">IFERROR(__xludf.DUMMYFUNCTION("""COMPUTED_VALUE"""),2)</f>
        <v>2</v>
      </c>
      <c r="M54">
        <f ca="1">IFERROR(__xludf.DUMMYFUNCTION("""COMPUTED_VALUE"""),20)</f>
        <v>20</v>
      </c>
      <c r="N54" s="8" t="str">
        <f ca="1">IFERROR(__xludf.DUMMYFUNCTION("""COMPUTED_VALUE"""),"Д3")</f>
        <v>Д3</v>
      </c>
    </row>
    <row r="55" spans="1:14" ht="12.45" hidden="1">
      <c r="A55" t="str">
        <f ca="1">IFERROR(__xludf.DUMMYFUNCTION("""COMPUTED_VALUE"""),"V-4-396")</f>
        <v>V-4-396</v>
      </c>
      <c r="B55" t="str">
        <f ca="1">IFERROR(__xludf.DUMMYFUNCTION("""COMPUTED_VALUE"""),"Руковчук")</f>
        <v>Руковчук</v>
      </c>
      <c r="C55" t="str">
        <f ca="1">IFERROR(__xludf.DUMMYFUNCTION("""COMPUTED_VALUE"""),"Павел")</f>
        <v>Павел</v>
      </c>
      <c r="D55" t="str">
        <f ca="1">IFERROR(__xludf.DUMMYFUNCTION("""COMPUTED_VALUE"""),"Школа 507")</f>
        <v>Школа 507</v>
      </c>
      <c r="E55" s="5">
        <f ca="1">IFERROR(__xludf.DUMMYFUNCTION("""COMPUTED_VALUE"""),7)</f>
        <v>7</v>
      </c>
      <c r="F55" s="5">
        <f ca="1">IFERROR(__xludf.DUMMYFUNCTION("""COMPUTED_VALUE"""),2)</f>
        <v>2</v>
      </c>
      <c r="G55" s="5">
        <f ca="1">IFERROR(__xludf.DUMMYFUNCTION("""COMPUTED_VALUE"""),1)</f>
        <v>1</v>
      </c>
      <c r="H55" s="5">
        <f ca="1">IFERROR(__xludf.DUMMYFUNCTION("""COMPUTED_VALUE"""),5)</f>
        <v>5</v>
      </c>
      <c r="I55" s="5">
        <f ca="1">IFERROR(__xludf.DUMMYFUNCTION("""COMPUTED_VALUE"""),3)</f>
        <v>3</v>
      </c>
      <c r="J55" s="5">
        <f ca="1">IFERROR(__xludf.DUMMYFUNCTION("""COMPUTED_VALUE"""),2)</f>
        <v>2</v>
      </c>
      <c r="K55" s="5"/>
      <c r="L55" s="5"/>
      <c r="M55">
        <f ca="1">IFERROR(__xludf.DUMMYFUNCTION("""COMPUTED_VALUE"""),20)</f>
        <v>20</v>
      </c>
      <c r="N55" s="8" t="str">
        <f ca="1">IFERROR(__xludf.DUMMYFUNCTION("""COMPUTED_VALUE"""),"Д3")</f>
        <v>Д3</v>
      </c>
    </row>
    <row r="56" spans="1:14" ht="12.45" hidden="1">
      <c r="A56" t="str">
        <f ca="1">IFERROR(__xludf.DUMMYFUNCTION("""COMPUTED_VALUE"""),"III-4-016")</f>
        <v>III-4-016</v>
      </c>
      <c r="B56" t="str">
        <f ca="1">IFERROR(__xludf.DUMMYFUNCTION("""COMPUTED_VALUE"""),"Антонова")</f>
        <v>Антонова</v>
      </c>
      <c r="C56" t="str">
        <f ca="1">IFERROR(__xludf.DUMMYFUNCTION("""COMPUTED_VALUE"""),"Дарья")</f>
        <v>Дарья</v>
      </c>
      <c r="D56" t="str">
        <f ca="1">IFERROR(__xludf.DUMMYFUNCTION("""COMPUTED_VALUE"""),"Гимназия 622")</f>
        <v>Гимназия 622</v>
      </c>
      <c r="E56" s="5">
        <f ca="1">IFERROR(__xludf.DUMMYFUNCTION("""COMPUTED_VALUE"""),7)</f>
        <v>7</v>
      </c>
      <c r="F56" s="5">
        <f ca="1">IFERROR(__xludf.DUMMYFUNCTION("""COMPUTED_VALUE"""),7)</f>
        <v>7</v>
      </c>
      <c r="G56" s="5"/>
      <c r="H56" s="5"/>
      <c r="I56" s="5">
        <f ca="1">IFERROR(__xludf.DUMMYFUNCTION("""COMPUTED_VALUE"""),3)</f>
        <v>3</v>
      </c>
      <c r="J56" s="5"/>
      <c r="K56" s="5"/>
      <c r="L56" s="5">
        <f ca="1">IFERROR(__xludf.DUMMYFUNCTION("""COMPUTED_VALUE"""),2)</f>
        <v>2</v>
      </c>
      <c r="M56">
        <f ca="1">IFERROR(__xludf.DUMMYFUNCTION("""COMPUTED_VALUE"""),19)</f>
        <v>19</v>
      </c>
      <c r="N56" s="8" t="str">
        <f ca="1">IFERROR(__xludf.DUMMYFUNCTION("""COMPUTED_VALUE"""),"ПО1")</f>
        <v>ПО1</v>
      </c>
    </row>
    <row r="57" spans="1:14" ht="12.45" hidden="1">
      <c r="A57" t="str">
        <f ca="1">IFERROR(__xludf.DUMMYFUNCTION("""COMPUTED_VALUE"""),"III-4-197")</f>
        <v>III-4-197</v>
      </c>
      <c r="B57" t="str">
        <f ca="1">IFERROR(__xludf.DUMMYFUNCTION("""COMPUTED_VALUE"""),"Иванова")</f>
        <v>Иванова</v>
      </c>
      <c r="C57" t="str">
        <f ca="1">IFERROR(__xludf.DUMMYFUNCTION("""COMPUTED_VALUE"""),"Елизавета")</f>
        <v>Елизавета</v>
      </c>
      <c r="D57" t="str">
        <f ca="1">IFERROR(__xludf.DUMMYFUNCTION("""COMPUTED_VALUE"""),"Гимназия 261")</f>
        <v>Гимназия 261</v>
      </c>
      <c r="E57" s="5">
        <f ca="1">IFERROR(__xludf.DUMMYFUNCTION("""COMPUTED_VALUE"""),7)</f>
        <v>7</v>
      </c>
      <c r="F57" s="5">
        <f ca="1">IFERROR(__xludf.DUMMYFUNCTION("""COMPUTED_VALUE"""),7)</f>
        <v>7</v>
      </c>
      <c r="G57" s="5">
        <f ca="1">IFERROR(__xludf.DUMMYFUNCTION("""COMPUTED_VALUE"""),2)</f>
        <v>2</v>
      </c>
      <c r="H57" s="5"/>
      <c r="I57" s="5">
        <f ca="1">IFERROR(__xludf.DUMMYFUNCTION("""COMPUTED_VALUE"""),3)</f>
        <v>3</v>
      </c>
      <c r="J57" s="5"/>
      <c r="K57" s="5"/>
      <c r="L57" s="5"/>
      <c r="M57">
        <f ca="1">IFERROR(__xludf.DUMMYFUNCTION("""COMPUTED_VALUE"""),19)</f>
        <v>19</v>
      </c>
      <c r="N57" s="8" t="str">
        <f ca="1">IFERROR(__xludf.DUMMYFUNCTION("""COMPUTED_VALUE"""),"ПО1")</f>
        <v>ПО1</v>
      </c>
    </row>
    <row r="58" spans="1:14" ht="12.45" hidden="1">
      <c r="A58" t="str">
        <f ca="1">IFERROR(__xludf.DUMMYFUNCTION("""COMPUTED_VALUE"""),"V-4-292")</f>
        <v>V-4-292</v>
      </c>
      <c r="B58" t="str">
        <f ca="1">IFERROR(__xludf.DUMMYFUNCTION("""COMPUTED_VALUE"""),"Матвеев")</f>
        <v>Матвеев</v>
      </c>
      <c r="C58" t="str">
        <f ca="1">IFERROR(__xludf.DUMMYFUNCTION("""COMPUTED_VALUE"""),"Борислав")</f>
        <v>Борислав</v>
      </c>
      <c r="D58" t="str">
        <f ca="1">IFERROR(__xludf.DUMMYFUNCTION("""COMPUTED_VALUE"""),"Лицей 144")</f>
        <v>Лицей 144</v>
      </c>
      <c r="E58" s="5">
        <f ca="1">IFERROR(__xludf.DUMMYFUNCTION("""COMPUTED_VALUE"""),0)</f>
        <v>0</v>
      </c>
      <c r="F58" s="5">
        <f ca="1">IFERROR(__xludf.DUMMYFUNCTION("""COMPUTED_VALUE"""),7)</f>
        <v>7</v>
      </c>
      <c r="G58" s="5">
        <f ca="1">IFERROR(__xludf.DUMMYFUNCTION("""COMPUTED_VALUE"""),3)</f>
        <v>3</v>
      </c>
      <c r="H58" s="5">
        <f ca="1">IFERROR(__xludf.DUMMYFUNCTION("""COMPUTED_VALUE"""),7)</f>
        <v>7</v>
      </c>
      <c r="I58" s="5">
        <f ca="1">IFERROR(__xludf.DUMMYFUNCTION("""COMPUTED_VALUE"""),1)</f>
        <v>1</v>
      </c>
      <c r="J58" s="5"/>
      <c r="K58" s="5">
        <f ca="1">IFERROR(__xludf.DUMMYFUNCTION("""COMPUTED_VALUE"""),1)</f>
        <v>1</v>
      </c>
      <c r="L58" s="5"/>
      <c r="M58">
        <f ca="1">IFERROR(__xludf.DUMMYFUNCTION("""COMPUTED_VALUE"""),19)</f>
        <v>19</v>
      </c>
      <c r="N58" s="8" t="str">
        <f ca="1">IFERROR(__xludf.DUMMYFUNCTION("""COMPUTED_VALUE"""),"ПО1")</f>
        <v>ПО1</v>
      </c>
    </row>
    <row r="59" spans="1:14" ht="12.45" hidden="1">
      <c r="A59" t="str">
        <f ca="1">IFERROR(__xludf.DUMMYFUNCTION("""COMPUTED_VALUE"""),"V-4-306")</f>
        <v>V-4-306</v>
      </c>
      <c r="B59" t="str">
        <f ca="1">IFERROR(__xludf.DUMMYFUNCTION("""COMPUTED_VALUE"""),"Москаленко")</f>
        <v>Москаленко</v>
      </c>
      <c r="C59" t="str">
        <f ca="1">IFERROR(__xludf.DUMMYFUNCTION("""COMPUTED_VALUE"""),"Антон")</f>
        <v>Антон</v>
      </c>
      <c r="D59" t="str">
        <f ca="1">IFERROR(__xludf.DUMMYFUNCTION("""COMPUTED_VALUE"""),"Школа 534")</f>
        <v>Школа 534</v>
      </c>
      <c r="E59" s="5">
        <f ca="1">IFERROR(__xludf.DUMMYFUNCTION("""COMPUTED_VALUE"""),7)</f>
        <v>7</v>
      </c>
      <c r="F59" s="5">
        <f ca="1">IFERROR(__xludf.DUMMYFUNCTION("""COMPUTED_VALUE"""),4)</f>
        <v>4</v>
      </c>
      <c r="G59" s="5">
        <f ca="1">IFERROR(__xludf.DUMMYFUNCTION("""COMPUTED_VALUE"""),1)</f>
        <v>1</v>
      </c>
      <c r="H59" s="5"/>
      <c r="I59" s="5">
        <f ca="1">IFERROR(__xludf.DUMMYFUNCTION("""COMPUTED_VALUE"""),2)</f>
        <v>2</v>
      </c>
      <c r="J59" s="5">
        <f ca="1">IFERROR(__xludf.DUMMYFUNCTION("""COMPUTED_VALUE"""),0)</f>
        <v>0</v>
      </c>
      <c r="K59" s="5">
        <f ca="1">IFERROR(__xludf.DUMMYFUNCTION("""COMPUTED_VALUE"""),5)</f>
        <v>5</v>
      </c>
      <c r="L59" s="5"/>
      <c r="M59">
        <f ca="1">IFERROR(__xludf.DUMMYFUNCTION("""COMPUTED_VALUE"""),19)</f>
        <v>19</v>
      </c>
      <c r="N59" s="8" t="str">
        <f ca="1">IFERROR(__xludf.DUMMYFUNCTION("""COMPUTED_VALUE"""),"ПО1")</f>
        <v>ПО1</v>
      </c>
    </row>
    <row r="60" spans="1:14" ht="12.45" hidden="1">
      <c r="A60" t="str">
        <f ca="1">IFERROR(__xludf.DUMMYFUNCTION("""COMPUTED_VALUE"""),"V-4-321")</f>
        <v>V-4-321</v>
      </c>
      <c r="B60" t="str">
        <f ca="1">IFERROR(__xludf.DUMMYFUNCTION("""COMPUTED_VALUE"""),"Никитин")</f>
        <v>Никитин</v>
      </c>
      <c r="C60" t="str">
        <f ca="1">IFERROR(__xludf.DUMMYFUNCTION("""COMPUTED_VALUE"""),"Иван")</f>
        <v>Иван</v>
      </c>
      <c r="D60" t="str">
        <f ca="1">IFERROR(__xludf.DUMMYFUNCTION("""COMPUTED_VALUE"""),"Лицей 597")</f>
        <v>Лицей 597</v>
      </c>
      <c r="E60" s="5">
        <f ca="1">IFERROR(__xludf.DUMMYFUNCTION("""COMPUTED_VALUE"""),7)</f>
        <v>7</v>
      </c>
      <c r="F60" s="5">
        <f ca="1">IFERROR(__xludf.DUMMYFUNCTION("""COMPUTED_VALUE"""),3)</f>
        <v>3</v>
      </c>
      <c r="G60" s="5">
        <f ca="1">IFERROR(__xludf.DUMMYFUNCTION("""COMPUTED_VALUE"""),2)</f>
        <v>2</v>
      </c>
      <c r="H60" s="5">
        <f ca="1">IFERROR(__xludf.DUMMYFUNCTION("""COMPUTED_VALUE"""),0)</f>
        <v>0</v>
      </c>
      <c r="I60" s="5">
        <f ca="1">IFERROR(__xludf.DUMMYFUNCTION("""COMPUTED_VALUE"""),7)</f>
        <v>7</v>
      </c>
      <c r="J60" s="5"/>
      <c r="K60" s="5"/>
      <c r="L60" s="5"/>
      <c r="M60">
        <f ca="1">IFERROR(__xludf.DUMMYFUNCTION("""COMPUTED_VALUE"""),19)</f>
        <v>19</v>
      </c>
      <c r="N60" s="8" t="str">
        <f ca="1">IFERROR(__xludf.DUMMYFUNCTION("""COMPUTED_VALUE"""),"ПО1")</f>
        <v>ПО1</v>
      </c>
    </row>
    <row r="61" spans="1:14" ht="12.45" hidden="1">
      <c r="A61" t="str">
        <f ca="1">IFERROR(__xludf.DUMMYFUNCTION("""COMPUTED_VALUE"""),"V-4-348")</f>
        <v>V-4-348</v>
      </c>
      <c r="B61" t="str">
        <f ca="1">IFERROR(__xludf.DUMMYFUNCTION("""COMPUTED_VALUE"""),"Петухов")</f>
        <v>Петухов</v>
      </c>
      <c r="C61" t="str">
        <f ca="1">IFERROR(__xludf.DUMMYFUNCTION("""COMPUTED_VALUE"""),"Константин")</f>
        <v>Константин</v>
      </c>
      <c r="D61" t="str">
        <f ca="1">IFERROR(__xludf.DUMMYFUNCTION("""COMPUTED_VALUE"""),"Гимназия 622")</f>
        <v>Гимназия 622</v>
      </c>
      <c r="E61" s="5">
        <f ca="1">IFERROR(__xludf.DUMMYFUNCTION("""COMPUTED_VALUE"""),2)</f>
        <v>2</v>
      </c>
      <c r="F61" s="5">
        <f ca="1">IFERROR(__xludf.DUMMYFUNCTION("""COMPUTED_VALUE"""),7)</f>
        <v>7</v>
      </c>
      <c r="G61" s="5">
        <f ca="1">IFERROR(__xludf.DUMMYFUNCTION("""COMPUTED_VALUE"""),4)</f>
        <v>4</v>
      </c>
      <c r="H61" s="5"/>
      <c r="I61" s="5">
        <f ca="1">IFERROR(__xludf.DUMMYFUNCTION("""COMPUTED_VALUE"""),6)</f>
        <v>6</v>
      </c>
      <c r="J61" s="5"/>
      <c r="K61" s="5"/>
      <c r="L61" s="5"/>
      <c r="M61">
        <f ca="1">IFERROR(__xludf.DUMMYFUNCTION("""COMPUTED_VALUE"""),19)</f>
        <v>19</v>
      </c>
      <c r="N61" s="8" t="str">
        <f ca="1">IFERROR(__xludf.DUMMYFUNCTION("""COMPUTED_VALUE"""),"ПО1")</f>
        <v>ПО1</v>
      </c>
    </row>
    <row r="62" spans="1:14" ht="12.45" hidden="1">
      <c r="A62" t="str">
        <f ca="1">IFERROR(__xludf.DUMMYFUNCTION("""COMPUTED_VALUE"""),"V-4-367")</f>
        <v>V-4-367</v>
      </c>
      <c r="B62" t="str">
        <f ca="1">IFERROR(__xludf.DUMMYFUNCTION("""COMPUTED_VALUE"""),"Попова")</f>
        <v>Попова</v>
      </c>
      <c r="C62" t="str">
        <f ca="1">IFERROR(__xludf.DUMMYFUNCTION("""COMPUTED_VALUE"""),"Ульяна")</f>
        <v>Ульяна</v>
      </c>
      <c r="D62" t="str">
        <f ca="1">IFERROR(__xludf.DUMMYFUNCTION("""COMPUTED_VALUE"""),"Гимназия 52")</f>
        <v>Гимназия 52</v>
      </c>
      <c r="E62" s="5">
        <f ca="1">IFERROR(__xludf.DUMMYFUNCTION("""COMPUTED_VALUE"""),7)</f>
        <v>7</v>
      </c>
      <c r="F62" s="5">
        <f ca="1">IFERROR(__xludf.DUMMYFUNCTION("""COMPUTED_VALUE"""),7)</f>
        <v>7</v>
      </c>
      <c r="G62" s="5">
        <f ca="1">IFERROR(__xludf.DUMMYFUNCTION("""COMPUTED_VALUE"""),4)</f>
        <v>4</v>
      </c>
      <c r="H62" s="5">
        <f ca="1">IFERROR(__xludf.DUMMYFUNCTION("""COMPUTED_VALUE"""),0)</f>
        <v>0</v>
      </c>
      <c r="I62" s="5">
        <f ca="1">IFERROR(__xludf.DUMMYFUNCTION("""COMPUTED_VALUE"""),1)</f>
        <v>1</v>
      </c>
      <c r="J62" s="5"/>
      <c r="K62" s="5"/>
      <c r="L62" s="5"/>
      <c r="M62">
        <f ca="1">IFERROR(__xludf.DUMMYFUNCTION("""COMPUTED_VALUE"""),19)</f>
        <v>19</v>
      </c>
      <c r="N62" s="8" t="str">
        <f ca="1">IFERROR(__xludf.DUMMYFUNCTION("""COMPUTED_VALUE"""),"ПО1")</f>
        <v>ПО1</v>
      </c>
    </row>
    <row r="63" spans="1:14" ht="12.45" hidden="1">
      <c r="A63" t="str">
        <f ca="1">IFERROR(__xludf.DUMMYFUNCTION("""COMPUTED_VALUE"""),"V-4-412")</f>
        <v>V-4-412</v>
      </c>
      <c r="B63" t="str">
        <f ca="1">IFERROR(__xludf.DUMMYFUNCTION("""COMPUTED_VALUE"""),"Самохин")</f>
        <v>Самохин</v>
      </c>
      <c r="C63" t="str">
        <f ca="1">IFERROR(__xludf.DUMMYFUNCTION("""COMPUTED_VALUE"""),"Василий")</f>
        <v>Василий</v>
      </c>
      <c r="D63" t="str">
        <f ca="1">IFERROR(__xludf.DUMMYFUNCTION("""COMPUTED_VALUE"""),"Лицей 150")</f>
        <v>Лицей 150</v>
      </c>
      <c r="E63" s="5">
        <f ca="1">IFERROR(__xludf.DUMMYFUNCTION("""COMPUTED_VALUE"""),7)</f>
        <v>7</v>
      </c>
      <c r="F63" s="5">
        <f ca="1">IFERROR(__xludf.DUMMYFUNCTION("""COMPUTED_VALUE"""),3)</f>
        <v>3</v>
      </c>
      <c r="G63" s="5">
        <f ca="1">IFERROR(__xludf.DUMMYFUNCTION("""COMPUTED_VALUE"""),2)</f>
        <v>2</v>
      </c>
      <c r="H63" s="5">
        <f ca="1">IFERROR(__xludf.DUMMYFUNCTION("""COMPUTED_VALUE"""),0)</f>
        <v>0</v>
      </c>
      <c r="I63" s="5">
        <f ca="1">IFERROR(__xludf.DUMMYFUNCTION("""COMPUTED_VALUE"""),7)</f>
        <v>7</v>
      </c>
      <c r="J63" s="5"/>
      <c r="K63" s="5"/>
      <c r="L63" s="5"/>
      <c r="M63">
        <f ca="1">IFERROR(__xludf.DUMMYFUNCTION("""COMPUTED_VALUE"""),19)</f>
        <v>19</v>
      </c>
      <c r="N63" s="8" t="str">
        <f ca="1">IFERROR(__xludf.DUMMYFUNCTION("""COMPUTED_VALUE"""),"ПО1")</f>
        <v>ПО1</v>
      </c>
    </row>
    <row r="64" spans="1:14" ht="12.45" hidden="1">
      <c r="A64" t="str">
        <f ca="1">IFERROR(__xludf.DUMMYFUNCTION("""COMPUTED_VALUE"""),"V-4-429")</f>
        <v>V-4-429</v>
      </c>
      <c r="B64" t="str">
        <f ca="1">IFERROR(__xludf.DUMMYFUNCTION("""COMPUTED_VALUE"""),"Смуглина")</f>
        <v>Смуглина</v>
      </c>
      <c r="C64" t="str">
        <f ca="1">IFERROR(__xludf.DUMMYFUNCTION("""COMPUTED_VALUE"""),"Елена")</f>
        <v>Елена</v>
      </c>
      <c r="D64" t="str">
        <f ca="1">IFERROR(__xludf.DUMMYFUNCTION("""COMPUTED_VALUE"""),"Лицей ФМЛ 366")</f>
        <v>Лицей ФМЛ 366</v>
      </c>
      <c r="E64" s="5">
        <f ca="1">IFERROR(__xludf.DUMMYFUNCTION("""COMPUTED_VALUE"""),7)</f>
        <v>7</v>
      </c>
      <c r="F64" s="5">
        <f ca="1">IFERROR(__xludf.DUMMYFUNCTION("""COMPUTED_VALUE"""),0)</f>
        <v>0</v>
      </c>
      <c r="G64" s="5">
        <f ca="1">IFERROR(__xludf.DUMMYFUNCTION("""COMPUTED_VALUE"""),2)</f>
        <v>2</v>
      </c>
      <c r="H64" s="5">
        <f ca="1">IFERROR(__xludf.DUMMYFUNCTION("""COMPUTED_VALUE"""),0)</f>
        <v>0</v>
      </c>
      <c r="I64" s="5">
        <f ca="1">IFERROR(__xludf.DUMMYFUNCTION("""COMPUTED_VALUE"""),3)</f>
        <v>3</v>
      </c>
      <c r="J64" s="5"/>
      <c r="K64" s="5"/>
      <c r="L64" s="5">
        <f ca="1">IFERROR(__xludf.DUMMYFUNCTION("""COMPUTED_VALUE"""),7)</f>
        <v>7</v>
      </c>
      <c r="M64">
        <f ca="1">IFERROR(__xludf.DUMMYFUNCTION("""COMPUTED_VALUE"""),19)</f>
        <v>19</v>
      </c>
      <c r="N64" s="8" t="str">
        <f ca="1">IFERROR(__xludf.DUMMYFUNCTION("""COMPUTED_VALUE"""),"ПО1")</f>
        <v>ПО1</v>
      </c>
    </row>
    <row r="65" spans="1:14" ht="12.45" hidden="1">
      <c r="A65" t="str">
        <f ca="1">IFERROR(__xludf.DUMMYFUNCTION("""COMPUTED_VALUE"""),"V-4-497")</f>
        <v>V-4-497</v>
      </c>
      <c r="B65" t="str">
        <f ca="1">IFERROR(__xludf.DUMMYFUNCTION("""COMPUTED_VALUE"""),"Шаркунов")</f>
        <v>Шаркунов</v>
      </c>
      <c r="C65" t="str">
        <f ca="1">IFERROR(__xludf.DUMMYFUNCTION("""COMPUTED_VALUE"""),"Дмитрий")</f>
        <v>Дмитрий</v>
      </c>
      <c r="D65" t="str">
        <f ca="1">IFERROR(__xludf.DUMMYFUNCTION("""COMPUTED_VALUE"""),"Лицей 41")</f>
        <v>Лицей 41</v>
      </c>
      <c r="E65" s="5">
        <f ca="1">IFERROR(__xludf.DUMMYFUNCTION("""COMPUTED_VALUE"""),7)</f>
        <v>7</v>
      </c>
      <c r="F65" s="5">
        <f ca="1">IFERROR(__xludf.DUMMYFUNCTION("""COMPUTED_VALUE"""),3)</f>
        <v>3</v>
      </c>
      <c r="G65" s="5">
        <f ca="1">IFERROR(__xludf.DUMMYFUNCTION("""COMPUTED_VALUE"""),7)</f>
        <v>7</v>
      </c>
      <c r="H65" s="5"/>
      <c r="I65" s="5">
        <f ca="1">IFERROR(__xludf.DUMMYFUNCTION("""COMPUTED_VALUE"""),2)</f>
        <v>2</v>
      </c>
      <c r="J65" s="5"/>
      <c r="K65" s="5"/>
      <c r="L65" s="5"/>
      <c r="M65">
        <f ca="1">IFERROR(__xludf.DUMMYFUNCTION("""COMPUTED_VALUE"""),19)</f>
        <v>19</v>
      </c>
      <c r="N65" s="8" t="str">
        <f ca="1">IFERROR(__xludf.DUMMYFUNCTION("""COMPUTED_VALUE"""),"ПО1")</f>
        <v>ПО1</v>
      </c>
    </row>
    <row r="66" spans="1:14" ht="12.45" hidden="1">
      <c r="A66" t="str">
        <f ca="1">IFERROR(__xludf.DUMMYFUNCTION("""COMPUTED_VALUE"""),"III-4-002")</f>
        <v>III-4-002</v>
      </c>
      <c r="B66" t="str">
        <f ca="1">IFERROR(__xludf.DUMMYFUNCTION("""COMPUTED_VALUE"""),"Абатин")</f>
        <v>Абатин</v>
      </c>
      <c r="C66" t="str">
        <f ca="1">IFERROR(__xludf.DUMMYFUNCTION("""COMPUTED_VALUE"""),"Лев")</f>
        <v>Лев</v>
      </c>
      <c r="D66" t="str">
        <f ca="1">IFERROR(__xludf.DUMMYFUNCTION("""COMPUTED_VALUE"""),"Школа 270")</f>
        <v>Школа 270</v>
      </c>
      <c r="E66" s="5">
        <f ca="1">IFERROR(__xludf.DUMMYFUNCTION("""COMPUTED_VALUE"""),7)</f>
        <v>7</v>
      </c>
      <c r="F66" s="5">
        <f ca="1">IFERROR(__xludf.DUMMYFUNCTION("""COMPUTED_VALUE"""),3)</f>
        <v>3</v>
      </c>
      <c r="G66" s="5">
        <f ca="1">IFERROR(__xludf.DUMMYFUNCTION("""COMPUTED_VALUE"""),5)</f>
        <v>5</v>
      </c>
      <c r="H66" s="5"/>
      <c r="I66" s="5">
        <f ca="1">IFERROR(__xludf.DUMMYFUNCTION("""COMPUTED_VALUE"""),3)</f>
        <v>3</v>
      </c>
      <c r="J66" s="5"/>
      <c r="K66" s="5"/>
      <c r="L66" s="5"/>
      <c r="M66">
        <f ca="1">IFERROR(__xludf.DUMMYFUNCTION("""COMPUTED_VALUE"""),18)</f>
        <v>18</v>
      </c>
      <c r="N66" s="8" t="str">
        <f ca="1">IFERROR(__xludf.DUMMYFUNCTION("""COMPUTED_VALUE"""),"ПО1")</f>
        <v>ПО1</v>
      </c>
    </row>
    <row r="67" spans="1:14" ht="12.45" hidden="1">
      <c r="A67" t="str">
        <f ca="1">IFERROR(__xludf.DUMMYFUNCTION("""COMPUTED_VALUE"""),"III-4-006")</f>
        <v>III-4-006</v>
      </c>
      <c r="B67" t="str">
        <f ca="1">IFERROR(__xludf.DUMMYFUNCTION("""COMPUTED_VALUE"""),"Адуни")</f>
        <v>Адуни</v>
      </c>
      <c r="C67" t="str">
        <f ca="1">IFERROR(__xludf.DUMMYFUNCTION("""COMPUTED_VALUE"""),"Сапфира")</f>
        <v>Сапфира</v>
      </c>
      <c r="D67" t="str">
        <f ca="1">IFERROR(__xludf.DUMMYFUNCTION("""COMPUTED_VALUE"""),"Лицей 470")</f>
        <v>Лицей 470</v>
      </c>
      <c r="E67" s="5">
        <f ca="1">IFERROR(__xludf.DUMMYFUNCTION("""COMPUTED_VALUE"""),7)</f>
        <v>7</v>
      </c>
      <c r="F67" s="5">
        <f ca="1">IFERROR(__xludf.DUMMYFUNCTION("""COMPUTED_VALUE"""),7)</f>
        <v>7</v>
      </c>
      <c r="G67" s="5">
        <f ca="1">IFERROR(__xludf.DUMMYFUNCTION("""COMPUTED_VALUE"""),2)</f>
        <v>2</v>
      </c>
      <c r="H67" s="5"/>
      <c r="I67" s="5">
        <f ca="1">IFERROR(__xludf.DUMMYFUNCTION("""COMPUTED_VALUE"""),2)</f>
        <v>2</v>
      </c>
      <c r="J67" s="5"/>
      <c r="K67" s="5"/>
      <c r="L67" s="5"/>
      <c r="M67">
        <f ca="1">IFERROR(__xludf.DUMMYFUNCTION("""COMPUTED_VALUE"""),18)</f>
        <v>18</v>
      </c>
      <c r="N67" s="8" t="str">
        <f ca="1">IFERROR(__xludf.DUMMYFUNCTION("""COMPUTED_VALUE"""),"ПО1")</f>
        <v>ПО1</v>
      </c>
    </row>
    <row r="68" spans="1:14" ht="12.45" hidden="1">
      <c r="A68" t="str">
        <f ca="1">IFERROR(__xludf.DUMMYFUNCTION("""COMPUTED_VALUE"""),"III-4-007")</f>
        <v>III-4-007</v>
      </c>
      <c r="B68" t="str">
        <f ca="1">IFERROR(__xludf.DUMMYFUNCTION("""COMPUTED_VALUE"""),"Аистов")</f>
        <v>Аистов</v>
      </c>
      <c r="C68" t="str">
        <f ca="1">IFERROR(__xludf.DUMMYFUNCTION("""COMPUTED_VALUE"""),"Алексей")</f>
        <v>Алексей</v>
      </c>
      <c r="D68" t="str">
        <f ca="1">IFERROR(__xludf.DUMMYFUNCTION("""COMPUTED_VALUE"""),"Лицей 9")</f>
        <v>Лицей 9</v>
      </c>
      <c r="E68" s="5">
        <f ca="1">IFERROR(__xludf.DUMMYFUNCTION("""COMPUTED_VALUE"""),7)</f>
        <v>7</v>
      </c>
      <c r="F68" s="5">
        <f ca="1">IFERROR(__xludf.DUMMYFUNCTION("""COMPUTED_VALUE"""),3)</f>
        <v>3</v>
      </c>
      <c r="G68" s="5">
        <f ca="1">IFERROR(__xludf.DUMMYFUNCTION("""COMPUTED_VALUE"""),2)</f>
        <v>2</v>
      </c>
      <c r="H68" s="5"/>
      <c r="I68" s="5">
        <f ca="1">IFERROR(__xludf.DUMMYFUNCTION("""COMPUTED_VALUE"""),2)</f>
        <v>2</v>
      </c>
      <c r="J68" s="5">
        <f ca="1">IFERROR(__xludf.DUMMYFUNCTION("""COMPUTED_VALUE"""),4)</f>
        <v>4</v>
      </c>
      <c r="K68" s="5"/>
      <c r="L68" s="5"/>
      <c r="M68">
        <f ca="1">IFERROR(__xludf.DUMMYFUNCTION("""COMPUTED_VALUE"""),18)</f>
        <v>18</v>
      </c>
      <c r="N68" s="8" t="str">
        <f ca="1">IFERROR(__xludf.DUMMYFUNCTION("""COMPUTED_VALUE"""),"ПО1")</f>
        <v>ПО1</v>
      </c>
    </row>
    <row r="69" spans="1:14" ht="12.45" hidden="1">
      <c r="A69" t="str">
        <f ca="1">IFERROR(__xludf.DUMMYFUNCTION("""COMPUTED_VALUE"""),"III-4-025")</f>
        <v>III-4-025</v>
      </c>
      <c r="B69" t="str">
        <f ca="1">IFERROR(__xludf.DUMMYFUNCTION("""COMPUTED_VALUE"""),"Балашев")</f>
        <v>Балашев</v>
      </c>
      <c r="C69" t="str">
        <f ca="1">IFERROR(__xludf.DUMMYFUNCTION("""COMPUTED_VALUE"""),"Владислав")</f>
        <v>Владислав</v>
      </c>
      <c r="D69" t="str">
        <f ca="1">IFERROR(__xludf.DUMMYFUNCTION("""COMPUTED_VALUE"""),"Гимназия 343")</f>
        <v>Гимназия 343</v>
      </c>
      <c r="E69" s="5">
        <f ca="1">IFERROR(__xludf.DUMMYFUNCTION("""COMPUTED_VALUE"""),2)</f>
        <v>2</v>
      </c>
      <c r="F69" s="5">
        <f ca="1">IFERROR(__xludf.DUMMYFUNCTION("""COMPUTED_VALUE"""),7)</f>
        <v>7</v>
      </c>
      <c r="G69" s="5">
        <f ca="1">IFERROR(__xludf.DUMMYFUNCTION("""COMPUTED_VALUE"""),2)</f>
        <v>2</v>
      </c>
      <c r="H69" s="5"/>
      <c r="I69" s="5"/>
      <c r="J69" s="5"/>
      <c r="K69" s="5"/>
      <c r="L69" s="5">
        <f ca="1">IFERROR(__xludf.DUMMYFUNCTION("""COMPUTED_VALUE"""),7)</f>
        <v>7</v>
      </c>
      <c r="M69">
        <f ca="1">IFERROR(__xludf.DUMMYFUNCTION("""COMPUTED_VALUE"""),18)</f>
        <v>18</v>
      </c>
      <c r="N69" s="8" t="str">
        <f ca="1">IFERROR(__xludf.DUMMYFUNCTION("""COMPUTED_VALUE"""),"ПО1")</f>
        <v>ПО1</v>
      </c>
    </row>
    <row r="70" spans="1:14" ht="12.45" hidden="1">
      <c r="A70" t="str">
        <f ca="1">IFERROR(__xludf.DUMMYFUNCTION("""COMPUTED_VALUE"""),"III-4-036")</f>
        <v>III-4-036</v>
      </c>
      <c r="B70" t="str">
        <f ca="1">IFERROR(__xludf.DUMMYFUNCTION("""COMPUTED_VALUE"""),"Белкова")</f>
        <v>Белкова</v>
      </c>
      <c r="C70" t="str">
        <f ca="1">IFERROR(__xludf.DUMMYFUNCTION("""COMPUTED_VALUE"""),"Дарья")</f>
        <v>Дарья</v>
      </c>
      <c r="D70" t="str">
        <f ca="1">IFERROR(__xludf.DUMMYFUNCTION("""COMPUTED_VALUE"""),"Школа 667")</f>
        <v>Школа 667</v>
      </c>
      <c r="E70" s="5">
        <f ca="1">IFERROR(__xludf.DUMMYFUNCTION("""COMPUTED_VALUE"""),7)</f>
        <v>7</v>
      </c>
      <c r="F70" s="5">
        <f ca="1">IFERROR(__xludf.DUMMYFUNCTION("""COMPUTED_VALUE"""),3)</f>
        <v>3</v>
      </c>
      <c r="G70" s="5">
        <f ca="1">IFERROR(__xludf.DUMMYFUNCTION("""COMPUTED_VALUE"""),3)</f>
        <v>3</v>
      </c>
      <c r="H70" s="5"/>
      <c r="I70" s="5">
        <f ca="1">IFERROR(__xludf.DUMMYFUNCTION("""COMPUTED_VALUE"""),5)</f>
        <v>5</v>
      </c>
      <c r="J70" s="5"/>
      <c r="K70" s="5"/>
      <c r="L70" s="5"/>
      <c r="M70">
        <f ca="1">IFERROR(__xludf.DUMMYFUNCTION("""COMPUTED_VALUE"""),18)</f>
        <v>18</v>
      </c>
      <c r="N70" s="8" t="str">
        <f ca="1">IFERROR(__xludf.DUMMYFUNCTION("""COMPUTED_VALUE"""),"ПО1")</f>
        <v>ПО1</v>
      </c>
    </row>
    <row r="71" spans="1:14" ht="12.45" hidden="1">
      <c r="A71" t="str">
        <f ca="1">IFERROR(__xludf.DUMMYFUNCTION("""COMPUTED_VALUE"""),"III-4-150")</f>
        <v>III-4-150</v>
      </c>
      <c r="B71" t="str">
        <f ca="1">IFERROR(__xludf.DUMMYFUNCTION("""COMPUTED_VALUE"""),"Дементьев")</f>
        <v>Дементьев</v>
      </c>
      <c r="C71" t="str">
        <f ca="1">IFERROR(__xludf.DUMMYFUNCTION("""COMPUTED_VALUE"""),"Егор")</f>
        <v>Егор</v>
      </c>
      <c r="D71" t="str">
        <f ca="1">IFERROR(__xludf.DUMMYFUNCTION("""COMPUTED_VALUE"""),"Лицей 41")</f>
        <v>Лицей 41</v>
      </c>
      <c r="E71" s="5">
        <f ca="1">IFERROR(__xludf.DUMMYFUNCTION("""COMPUTED_VALUE"""),7)</f>
        <v>7</v>
      </c>
      <c r="F71" s="5">
        <f ca="1">IFERROR(__xludf.DUMMYFUNCTION("""COMPUTED_VALUE"""),7)</f>
        <v>7</v>
      </c>
      <c r="G71" s="5">
        <f ca="1">IFERROR(__xludf.DUMMYFUNCTION("""COMPUTED_VALUE"""),3)</f>
        <v>3</v>
      </c>
      <c r="H71" s="5"/>
      <c r="I71" s="5">
        <f ca="1">IFERROR(__xludf.DUMMYFUNCTION("""COMPUTED_VALUE"""),1)</f>
        <v>1</v>
      </c>
      <c r="J71" s="5"/>
      <c r="K71" s="5"/>
      <c r="L71" s="5"/>
      <c r="M71">
        <f ca="1">IFERROR(__xludf.DUMMYFUNCTION("""COMPUTED_VALUE"""),18)</f>
        <v>18</v>
      </c>
      <c r="N71" s="8" t="str">
        <f ca="1">IFERROR(__xludf.DUMMYFUNCTION("""COMPUTED_VALUE"""),"ПО1")</f>
        <v>ПО1</v>
      </c>
    </row>
    <row r="72" spans="1:14" ht="12.45" hidden="1">
      <c r="A72" t="str">
        <f ca="1">IFERROR(__xludf.DUMMYFUNCTION("""COMPUTED_VALUE"""),"III-4-171")</f>
        <v>III-4-171</v>
      </c>
      <c r="B72" t="str">
        <f ca="1">IFERROR(__xludf.DUMMYFUNCTION("""COMPUTED_VALUE"""),"Ефимов")</f>
        <v>Ефимов</v>
      </c>
      <c r="C72" t="str">
        <f ca="1">IFERROR(__xludf.DUMMYFUNCTION("""COMPUTED_VALUE"""),"Олег")</f>
        <v>Олег</v>
      </c>
      <c r="D72" t="str">
        <f ca="1">IFERROR(__xludf.DUMMYFUNCTION("""COMPUTED_VALUE"""),"Школа 457")</f>
        <v>Школа 457</v>
      </c>
      <c r="E72" s="5">
        <f ca="1">IFERROR(__xludf.DUMMYFUNCTION("""COMPUTED_VALUE"""),2)</f>
        <v>2</v>
      </c>
      <c r="F72" s="5">
        <f ca="1">IFERROR(__xludf.DUMMYFUNCTION("""COMPUTED_VALUE"""),7)</f>
        <v>7</v>
      </c>
      <c r="G72" s="5">
        <f ca="1">IFERROR(__xludf.DUMMYFUNCTION("""COMPUTED_VALUE"""),4)</f>
        <v>4</v>
      </c>
      <c r="H72" s="5"/>
      <c r="I72" s="5">
        <f ca="1">IFERROR(__xludf.DUMMYFUNCTION("""COMPUTED_VALUE"""),5)</f>
        <v>5</v>
      </c>
      <c r="J72" s="5"/>
      <c r="K72" s="5"/>
      <c r="L72" s="5"/>
      <c r="M72">
        <f ca="1">IFERROR(__xludf.DUMMYFUNCTION("""COMPUTED_VALUE"""),18)</f>
        <v>18</v>
      </c>
      <c r="N72" s="8" t="str">
        <f ca="1">IFERROR(__xludf.DUMMYFUNCTION("""COMPUTED_VALUE"""),"ПО1")</f>
        <v>ПО1</v>
      </c>
    </row>
    <row r="73" spans="1:14" ht="12.45" hidden="1">
      <c r="A73" t="str">
        <f ca="1">IFERROR(__xludf.DUMMYFUNCTION("""COMPUTED_VALUE"""),"III-4-177")</f>
        <v>III-4-177</v>
      </c>
      <c r="B73" t="str">
        <f ca="1">IFERROR(__xludf.DUMMYFUNCTION("""COMPUTED_VALUE"""),"Жуков")</f>
        <v>Жуков</v>
      </c>
      <c r="C73" t="str">
        <f ca="1">IFERROR(__xludf.DUMMYFUNCTION("""COMPUTED_VALUE"""),"Алексей")</f>
        <v>Алексей</v>
      </c>
      <c r="D73" t="str">
        <f ca="1">IFERROR(__xludf.DUMMYFUNCTION("""COMPUTED_VALUE"""),"Школа 376")</f>
        <v>Школа 376</v>
      </c>
      <c r="E73" s="5">
        <f ca="1">IFERROR(__xludf.DUMMYFUNCTION("""COMPUTED_VALUE"""),7)</f>
        <v>7</v>
      </c>
      <c r="F73" s="5">
        <f ca="1">IFERROR(__xludf.DUMMYFUNCTION("""COMPUTED_VALUE"""),7)</f>
        <v>7</v>
      </c>
      <c r="G73" s="5"/>
      <c r="H73" s="5"/>
      <c r="I73" s="5">
        <f ca="1">IFERROR(__xludf.DUMMYFUNCTION("""COMPUTED_VALUE"""),4)</f>
        <v>4</v>
      </c>
      <c r="J73" s="5"/>
      <c r="K73" s="5"/>
      <c r="L73" s="5"/>
      <c r="M73">
        <f ca="1">IFERROR(__xludf.DUMMYFUNCTION("""COMPUTED_VALUE"""),18)</f>
        <v>18</v>
      </c>
      <c r="N73" s="8" t="str">
        <f ca="1">IFERROR(__xludf.DUMMYFUNCTION("""COMPUTED_VALUE"""),"ПО1")</f>
        <v>ПО1</v>
      </c>
    </row>
    <row r="74" spans="1:14" ht="12.45" hidden="1">
      <c r="A74" t="str">
        <f ca="1">IFERROR(__xludf.DUMMYFUNCTION("""COMPUTED_VALUE"""),"III-4-245")</f>
        <v>III-4-245</v>
      </c>
      <c r="B74" t="str">
        <f ca="1">IFERROR(__xludf.DUMMYFUNCTION("""COMPUTED_VALUE"""),"Крутиков")</f>
        <v>Крутиков</v>
      </c>
      <c r="C74" t="str">
        <f ca="1">IFERROR(__xludf.DUMMYFUNCTION("""COMPUTED_VALUE"""),"Иван")</f>
        <v>Иван</v>
      </c>
      <c r="D74" t="str">
        <f ca="1">IFERROR(__xludf.DUMMYFUNCTION("""COMPUTED_VALUE"""),"Лицей 344")</f>
        <v>Лицей 344</v>
      </c>
      <c r="E74" s="5">
        <f ca="1">IFERROR(__xludf.DUMMYFUNCTION("""COMPUTED_VALUE"""),7)</f>
        <v>7</v>
      </c>
      <c r="F74" s="5">
        <f ca="1">IFERROR(__xludf.DUMMYFUNCTION("""COMPUTED_VALUE"""),7)</f>
        <v>7</v>
      </c>
      <c r="G74" s="5">
        <f ca="1">IFERROR(__xludf.DUMMYFUNCTION("""COMPUTED_VALUE"""),2)</f>
        <v>2</v>
      </c>
      <c r="H74" s="5"/>
      <c r="I74" s="5">
        <f ca="1">IFERROR(__xludf.DUMMYFUNCTION("""COMPUTED_VALUE"""),2)</f>
        <v>2</v>
      </c>
      <c r="J74" s="5"/>
      <c r="K74" s="5"/>
      <c r="L74" s="5"/>
      <c r="M74">
        <f ca="1">IFERROR(__xludf.DUMMYFUNCTION("""COMPUTED_VALUE"""),18)</f>
        <v>18</v>
      </c>
      <c r="N74" s="8" t="str">
        <f ca="1">IFERROR(__xludf.DUMMYFUNCTION("""COMPUTED_VALUE"""),"ПО1")</f>
        <v>ПО1</v>
      </c>
    </row>
    <row r="75" spans="1:14" ht="12.45" hidden="1">
      <c r="A75" t="str">
        <f ca="1">IFERROR(__xludf.DUMMYFUNCTION("""COMPUTED_VALUE"""),"III-4-260")</f>
        <v>III-4-260</v>
      </c>
      <c r="B75" t="str">
        <f ca="1">IFERROR(__xludf.DUMMYFUNCTION("""COMPUTED_VALUE"""),"Лаврентьев")</f>
        <v>Лаврентьев</v>
      </c>
      <c r="C75" t="str">
        <f ca="1">IFERROR(__xludf.DUMMYFUNCTION("""COMPUTED_VALUE"""),"Всеволод")</f>
        <v>Всеволод</v>
      </c>
      <c r="D75" t="str">
        <f ca="1">IFERROR(__xludf.DUMMYFUNCTION("""COMPUTED_VALUE"""),"Гимназия 540")</f>
        <v>Гимназия 540</v>
      </c>
      <c r="E75" s="5">
        <f ca="1">IFERROR(__xludf.DUMMYFUNCTION("""COMPUTED_VALUE"""),7)</f>
        <v>7</v>
      </c>
      <c r="F75" s="5">
        <f ca="1">IFERROR(__xludf.DUMMYFUNCTION("""COMPUTED_VALUE"""),7)</f>
        <v>7</v>
      </c>
      <c r="G75" s="5">
        <f ca="1">IFERROR(__xludf.DUMMYFUNCTION("""COMPUTED_VALUE"""),2)</f>
        <v>2</v>
      </c>
      <c r="H75" s="5"/>
      <c r="I75" s="5">
        <f ca="1">IFERROR(__xludf.DUMMYFUNCTION("""COMPUTED_VALUE"""),2)</f>
        <v>2</v>
      </c>
      <c r="J75" s="5"/>
      <c r="K75" s="5"/>
      <c r="L75" s="5"/>
      <c r="M75">
        <f ca="1">IFERROR(__xludf.DUMMYFUNCTION("""COMPUTED_VALUE"""),18)</f>
        <v>18</v>
      </c>
      <c r="N75" s="8" t="str">
        <f ca="1">IFERROR(__xludf.DUMMYFUNCTION("""COMPUTED_VALUE"""),"ПО1")</f>
        <v>ПО1</v>
      </c>
    </row>
    <row r="76" spans="1:14" ht="12.45" hidden="1">
      <c r="A76" t="str">
        <f ca="1">IFERROR(__xludf.DUMMYFUNCTION("""COMPUTED_VALUE"""),"V-4-361")</f>
        <v>V-4-361</v>
      </c>
      <c r="B76" t="str">
        <f ca="1">IFERROR(__xludf.DUMMYFUNCTION("""COMPUTED_VALUE"""),"Полищук")</f>
        <v>Полищук</v>
      </c>
      <c r="C76" t="str">
        <f ca="1">IFERROR(__xludf.DUMMYFUNCTION("""COMPUTED_VALUE"""),"Артём")</f>
        <v>Артём</v>
      </c>
      <c r="D76" t="str">
        <f ca="1">IFERROR(__xludf.DUMMYFUNCTION("""COMPUTED_VALUE"""),"Гимназия 56")</f>
        <v>Гимназия 56</v>
      </c>
      <c r="E76" s="5">
        <f ca="1">IFERROR(__xludf.DUMMYFUNCTION("""COMPUTED_VALUE"""),7)</f>
        <v>7</v>
      </c>
      <c r="F76" s="5">
        <f ca="1">IFERROR(__xludf.DUMMYFUNCTION("""COMPUTED_VALUE"""),7)</f>
        <v>7</v>
      </c>
      <c r="G76" s="5">
        <f ca="1">IFERROR(__xludf.DUMMYFUNCTION("""COMPUTED_VALUE"""),4)</f>
        <v>4</v>
      </c>
      <c r="H76" s="5"/>
      <c r="I76" s="5"/>
      <c r="J76" s="5"/>
      <c r="K76" s="5"/>
      <c r="L76" s="5"/>
      <c r="M76">
        <f ca="1">IFERROR(__xludf.DUMMYFUNCTION("""COMPUTED_VALUE"""),18)</f>
        <v>18</v>
      </c>
      <c r="N76" s="8" t="str">
        <f ca="1">IFERROR(__xludf.DUMMYFUNCTION("""COMPUTED_VALUE"""),"ПО1")</f>
        <v>ПО1</v>
      </c>
    </row>
    <row r="77" spans="1:14" ht="12.45" hidden="1">
      <c r="A77" t="str">
        <f ca="1">IFERROR(__xludf.DUMMYFUNCTION("""COMPUTED_VALUE"""),"V-4-421")</f>
        <v>V-4-421</v>
      </c>
      <c r="B77" t="str">
        <f ca="1">IFERROR(__xludf.DUMMYFUNCTION("""COMPUTED_VALUE"""),"Сидорова")</f>
        <v>Сидорова</v>
      </c>
      <c r="C77" t="str">
        <f ca="1">IFERROR(__xludf.DUMMYFUNCTION("""COMPUTED_VALUE"""),"Светлана")</f>
        <v>Светлана</v>
      </c>
      <c r="D77" t="str">
        <f ca="1">IFERROR(__xludf.DUMMYFUNCTION("""COMPUTED_VALUE"""),"Школа 292")</f>
        <v>Школа 292</v>
      </c>
      <c r="E77" s="5">
        <f ca="1">IFERROR(__xludf.DUMMYFUNCTION("""COMPUTED_VALUE"""),7)</f>
        <v>7</v>
      </c>
      <c r="F77" s="5"/>
      <c r="G77" s="5">
        <f ca="1">IFERROR(__xludf.DUMMYFUNCTION("""COMPUTED_VALUE"""),5)</f>
        <v>5</v>
      </c>
      <c r="H77" s="5"/>
      <c r="I77" s="5">
        <f ca="1">IFERROR(__xludf.DUMMYFUNCTION("""COMPUTED_VALUE"""),6)</f>
        <v>6</v>
      </c>
      <c r="J77" s="5"/>
      <c r="K77" s="5"/>
      <c r="L77" s="5"/>
      <c r="M77">
        <f ca="1">IFERROR(__xludf.DUMMYFUNCTION("""COMPUTED_VALUE"""),18)</f>
        <v>18</v>
      </c>
      <c r="N77" s="8" t="str">
        <f ca="1">IFERROR(__xludf.DUMMYFUNCTION("""COMPUTED_VALUE"""),"ПО1")</f>
        <v>ПО1</v>
      </c>
    </row>
    <row r="78" spans="1:14" ht="12.45" hidden="1">
      <c r="A78" t="str">
        <f ca="1">IFERROR(__xludf.DUMMYFUNCTION("""COMPUTED_VALUE"""),"V-4-468")</f>
        <v>V-4-468</v>
      </c>
      <c r="B78" t="str">
        <f ca="1">IFERROR(__xludf.DUMMYFUNCTION("""COMPUTED_VALUE"""),"Федоренко")</f>
        <v>Федоренко</v>
      </c>
      <c r="C78" t="str">
        <f ca="1">IFERROR(__xludf.DUMMYFUNCTION("""COMPUTED_VALUE"""),"Иван")</f>
        <v>Иван</v>
      </c>
      <c r="D78" t="str">
        <f ca="1">IFERROR(__xludf.DUMMYFUNCTION("""COMPUTED_VALUE"""),"Школа Квадривиум")</f>
        <v>Школа Квадривиум</v>
      </c>
      <c r="E78" s="5">
        <f ca="1">IFERROR(__xludf.DUMMYFUNCTION("""COMPUTED_VALUE"""),7)</f>
        <v>7</v>
      </c>
      <c r="F78" s="5">
        <f ca="1">IFERROR(__xludf.DUMMYFUNCTION("""COMPUTED_VALUE"""),7)</f>
        <v>7</v>
      </c>
      <c r="G78" s="5">
        <f ca="1">IFERROR(__xludf.DUMMYFUNCTION("""COMPUTED_VALUE"""),4)</f>
        <v>4</v>
      </c>
      <c r="H78" s="5"/>
      <c r="I78" s="5"/>
      <c r="J78" s="5"/>
      <c r="K78" s="5"/>
      <c r="L78" s="5"/>
      <c r="M78">
        <f ca="1">IFERROR(__xludf.DUMMYFUNCTION("""COMPUTED_VALUE"""),18)</f>
        <v>18</v>
      </c>
      <c r="N78" s="8" t="str">
        <f ca="1">IFERROR(__xludf.DUMMYFUNCTION("""COMPUTED_VALUE"""),"ПО1")</f>
        <v>ПО1</v>
      </c>
    </row>
    <row r="79" spans="1:14" ht="12.45" hidden="1">
      <c r="A79" t="str">
        <f ca="1">IFERROR(__xludf.DUMMYFUNCTION("""COMPUTED_VALUE"""),"III-4-104")</f>
        <v>III-4-104</v>
      </c>
      <c r="B79" t="str">
        <f ca="1">IFERROR(__xludf.DUMMYFUNCTION("""COMPUTED_VALUE"""),"Волосков")</f>
        <v>Волосков</v>
      </c>
      <c r="C79" t="str">
        <f ca="1">IFERROR(__xludf.DUMMYFUNCTION("""COMPUTED_VALUE"""),"Славомил")</f>
        <v>Славомил</v>
      </c>
      <c r="D79" t="str">
        <f ca="1">IFERROR(__xludf.DUMMYFUNCTION("""COMPUTED_VALUE"""),"Школа 238")</f>
        <v>Школа 238</v>
      </c>
      <c r="E79" s="5">
        <f ca="1">IFERROR(__xludf.DUMMYFUNCTION("""COMPUTED_VALUE"""),7)</f>
        <v>7</v>
      </c>
      <c r="F79" s="5">
        <f ca="1">IFERROR(__xludf.DUMMYFUNCTION("""COMPUTED_VALUE"""),7)</f>
        <v>7</v>
      </c>
      <c r="G79" s="5">
        <f ca="1">IFERROR(__xludf.DUMMYFUNCTION("""COMPUTED_VALUE"""),1)</f>
        <v>1</v>
      </c>
      <c r="H79" s="5"/>
      <c r="I79" s="5">
        <f ca="1">IFERROR(__xludf.DUMMYFUNCTION("""COMPUTED_VALUE"""),2)</f>
        <v>2</v>
      </c>
      <c r="J79" s="5"/>
      <c r="K79" s="5"/>
      <c r="L79" s="5"/>
      <c r="M79">
        <f ca="1">IFERROR(__xludf.DUMMYFUNCTION("""COMPUTED_VALUE"""),17)</f>
        <v>17</v>
      </c>
      <c r="N79" s="8" t="str">
        <f ca="1">IFERROR(__xludf.DUMMYFUNCTION("""COMPUTED_VALUE"""),"ПО2")</f>
        <v>ПО2</v>
      </c>
    </row>
    <row r="80" spans="1:14" ht="12.45" hidden="1">
      <c r="A80" t="str">
        <f ca="1">IFERROR(__xludf.DUMMYFUNCTION("""COMPUTED_VALUE"""),"III-4-169")</f>
        <v>III-4-169</v>
      </c>
      <c r="B80" t="str">
        <f ca="1">IFERROR(__xludf.DUMMYFUNCTION("""COMPUTED_VALUE"""),"Ермоленко")</f>
        <v>Ермоленко</v>
      </c>
      <c r="C80" t="str">
        <f ca="1">IFERROR(__xludf.DUMMYFUNCTION("""COMPUTED_VALUE"""),"Андрей")</f>
        <v>Андрей</v>
      </c>
      <c r="D80" t="str">
        <f ca="1">IFERROR(__xludf.DUMMYFUNCTION("""COMPUTED_VALUE"""),"Лицей 470")</f>
        <v>Лицей 470</v>
      </c>
      <c r="E80" s="5">
        <f ca="1">IFERROR(__xludf.DUMMYFUNCTION("""COMPUTED_VALUE"""),7)</f>
        <v>7</v>
      </c>
      <c r="F80" s="5">
        <f ca="1">IFERROR(__xludf.DUMMYFUNCTION("""COMPUTED_VALUE"""),3)</f>
        <v>3</v>
      </c>
      <c r="G80" s="5"/>
      <c r="H80" s="5"/>
      <c r="I80" s="5">
        <f ca="1">IFERROR(__xludf.DUMMYFUNCTION("""COMPUTED_VALUE"""),7)</f>
        <v>7</v>
      </c>
      <c r="J80" s="5"/>
      <c r="K80" s="5"/>
      <c r="L80" s="5"/>
      <c r="M80">
        <f ca="1">IFERROR(__xludf.DUMMYFUNCTION("""COMPUTED_VALUE"""),17)</f>
        <v>17</v>
      </c>
      <c r="N80" s="8" t="str">
        <f ca="1">IFERROR(__xludf.DUMMYFUNCTION("""COMPUTED_VALUE"""),"ПО2")</f>
        <v>ПО2</v>
      </c>
    </row>
    <row r="81" spans="1:14" ht="12.45" hidden="1">
      <c r="A81" t="str">
        <f ca="1">IFERROR(__xludf.DUMMYFUNCTION("""COMPUTED_VALUE"""),"III-4-174")</f>
        <v>III-4-174</v>
      </c>
      <c r="B81" t="str">
        <f ca="1">IFERROR(__xludf.DUMMYFUNCTION("""COMPUTED_VALUE"""),"Железняков")</f>
        <v>Железняков</v>
      </c>
      <c r="C81" t="str">
        <f ca="1">IFERROR(__xludf.DUMMYFUNCTION("""COMPUTED_VALUE"""),"Алексей")</f>
        <v>Алексей</v>
      </c>
      <c r="D81" t="str">
        <f ca="1">IFERROR(__xludf.DUMMYFUNCTION("""COMPUTED_VALUE"""),"Школа 4 им. Кусто")</f>
        <v>Школа 4 им. Кусто</v>
      </c>
      <c r="E81" s="5">
        <f ca="1">IFERROR(__xludf.DUMMYFUNCTION("""COMPUTED_VALUE"""),7)</f>
        <v>7</v>
      </c>
      <c r="F81" s="5">
        <f ca="1">IFERROR(__xludf.DUMMYFUNCTION("""COMPUTED_VALUE"""),6)</f>
        <v>6</v>
      </c>
      <c r="G81" s="5"/>
      <c r="H81" s="5"/>
      <c r="I81" s="5">
        <f ca="1">IFERROR(__xludf.DUMMYFUNCTION("""COMPUTED_VALUE"""),4)</f>
        <v>4</v>
      </c>
      <c r="J81" s="5"/>
      <c r="K81" s="5"/>
      <c r="L81" s="5"/>
      <c r="M81">
        <f ca="1">IFERROR(__xludf.DUMMYFUNCTION("""COMPUTED_VALUE"""),17)</f>
        <v>17</v>
      </c>
      <c r="N81" s="8" t="str">
        <f ca="1">IFERROR(__xludf.DUMMYFUNCTION("""COMPUTED_VALUE"""),"ПО2")</f>
        <v>ПО2</v>
      </c>
    </row>
    <row r="82" spans="1:14" ht="12.45" hidden="1">
      <c r="A82" t="str">
        <f ca="1">IFERROR(__xludf.DUMMYFUNCTION("""COMPUTED_VALUE"""),"III-4-180")</f>
        <v>III-4-180</v>
      </c>
      <c r="B82" t="str">
        <f ca="1">IFERROR(__xludf.DUMMYFUNCTION("""COMPUTED_VALUE"""),"Замоторин")</f>
        <v>Замоторин</v>
      </c>
      <c r="C82" t="str">
        <f ca="1">IFERROR(__xludf.DUMMYFUNCTION("""COMPUTED_VALUE"""),"Илья")</f>
        <v>Илья</v>
      </c>
      <c r="D82" t="str">
        <f ca="1">IFERROR(__xludf.DUMMYFUNCTION("""COMPUTED_VALUE"""),"Лицей 95")</f>
        <v>Лицей 95</v>
      </c>
      <c r="E82" s="5">
        <f ca="1">IFERROR(__xludf.DUMMYFUNCTION("""COMPUTED_VALUE"""),7)</f>
        <v>7</v>
      </c>
      <c r="F82" s="5">
        <f ca="1">IFERROR(__xludf.DUMMYFUNCTION("""COMPUTED_VALUE"""),7)</f>
        <v>7</v>
      </c>
      <c r="G82" s="5">
        <f ca="1">IFERROR(__xludf.DUMMYFUNCTION("""COMPUTED_VALUE"""),3)</f>
        <v>3</v>
      </c>
      <c r="H82" s="5"/>
      <c r="I82" s="5"/>
      <c r="J82" s="5"/>
      <c r="K82" s="5"/>
      <c r="L82" s="5"/>
      <c r="M82">
        <f ca="1">IFERROR(__xludf.DUMMYFUNCTION("""COMPUTED_VALUE"""),17)</f>
        <v>17</v>
      </c>
      <c r="N82" s="8" t="str">
        <f ca="1">IFERROR(__xludf.DUMMYFUNCTION("""COMPUTED_VALUE"""),"ПО2")</f>
        <v>ПО2</v>
      </c>
    </row>
    <row r="83" spans="1:14" ht="12.45" hidden="1">
      <c r="A83" t="str">
        <f ca="1">IFERROR(__xludf.DUMMYFUNCTION("""COMPUTED_VALUE"""),"III-4-193")</f>
        <v>III-4-193</v>
      </c>
      <c r="B83" t="str">
        <f ca="1">IFERROR(__xludf.DUMMYFUNCTION("""COMPUTED_VALUE"""),"Зуева")</f>
        <v>Зуева</v>
      </c>
      <c r="C83" t="str">
        <f ca="1">IFERROR(__xludf.DUMMYFUNCTION("""COMPUTED_VALUE"""),"Мария")</f>
        <v>Мария</v>
      </c>
      <c r="D83" t="str">
        <f ca="1">IFERROR(__xludf.DUMMYFUNCTION("""COMPUTED_VALUE"""),"Лицей 95")</f>
        <v>Лицей 95</v>
      </c>
      <c r="E83" s="5">
        <f ca="1">IFERROR(__xludf.DUMMYFUNCTION("""COMPUTED_VALUE"""),7)</f>
        <v>7</v>
      </c>
      <c r="F83" s="5">
        <f ca="1">IFERROR(__xludf.DUMMYFUNCTION("""COMPUTED_VALUE"""),7)</f>
        <v>7</v>
      </c>
      <c r="G83" s="5"/>
      <c r="H83" s="5"/>
      <c r="I83" s="5">
        <f ca="1">IFERROR(__xludf.DUMMYFUNCTION("""COMPUTED_VALUE"""),3)</f>
        <v>3</v>
      </c>
      <c r="J83" s="5"/>
      <c r="K83" s="5"/>
      <c r="L83" s="5"/>
      <c r="M83">
        <f ca="1">IFERROR(__xludf.DUMMYFUNCTION("""COMPUTED_VALUE"""),17)</f>
        <v>17</v>
      </c>
      <c r="N83" s="8" t="str">
        <f ca="1">IFERROR(__xludf.DUMMYFUNCTION("""COMPUTED_VALUE"""),"ПО2")</f>
        <v>ПО2</v>
      </c>
    </row>
    <row r="84" spans="1:14" ht="12.45" hidden="1">
      <c r="A84" t="str">
        <f ca="1">IFERROR(__xludf.DUMMYFUNCTION("""COMPUTED_VALUE"""),"III-4-253")</f>
        <v>III-4-253</v>
      </c>
      <c r="B84" t="str">
        <f ca="1">IFERROR(__xludf.DUMMYFUNCTION("""COMPUTED_VALUE"""),"Куранов")</f>
        <v>Куранов</v>
      </c>
      <c r="C84" t="str">
        <f ca="1">IFERROR(__xludf.DUMMYFUNCTION("""COMPUTED_VALUE"""),"Константин")</f>
        <v>Константин</v>
      </c>
      <c r="D84" t="str">
        <f ca="1">IFERROR(__xludf.DUMMYFUNCTION("""COMPUTED_VALUE"""),"Лицей 344")</f>
        <v>Лицей 344</v>
      </c>
      <c r="E84" s="5">
        <f ca="1">IFERROR(__xludf.DUMMYFUNCTION("""COMPUTED_VALUE"""),7)</f>
        <v>7</v>
      </c>
      <c r="F84" s="5">
        <f ca="1">IFERROR(__xludf.DUMMYFUNCTION("""COMPUTED_VALUE"""),6)</f>
        <v>6</v>
      </c>
      <c r="G84" s="5">
        <f ca="1">IFERROR(__xludf.DUMMYFUNCTION("""COMPUTED_VALUE"""),2)</f>
        <v>2</v>
      </c>
      <c r="H84" s="5"/>
      <c r="I84" s="5">
        <f ca="1">IFERROR(__xludf.DUMMYFUNCTION("""COMPUTED_VALUE"""),2)</f>
        <v>2</v>
      </c>
      <c r="J84" s="5"/>
      <c r="K84" s="5"/>
      <c r="L84" s="5"/>
      <c r="M84">
        <f ca="1">IFERROR(__xludf.DUMMYFUNCTION("""COMPUTED_VALUE"""),17)</f>
        <v>17</v>
      </c>
      <c r="N84" s="8" t="str">
        <f ca="1">IFERROR(__xludf.DUMMYFUNCTION("""COMPUTED_VALUE"""),"ПО2")</f>
        <v>ПО2</v>
      </c>
    </row>
    <row r="85" spans="1:14" ht="12.45" hidden="1">
      <c r="A85" t="str">
        <f ca="1">IFERROR(__xludf.DUMMYFUNCTION("""COMPUTED_VALUE"""),"V-4-701")</f>
        <v>V-4-701</v>
      </c>
      <c r="B85" t="str">
        <f ca="1">IFERROR(__xludf.DUMMYFUNCTION("""COMPUTED_VALUE"""),"Попов")</f>
        <v>Попов</v>
      </c>
      <c r="C85" t="str">
        <f ca="1">IFERROR(__xludf.DUMMYFUNCTION("""COMPUTED_VALUE"""),"Андрей")</f>
        <v>Андрей</v>
      </c>
      <c r="D85" t="str">
        <f ca="1">IFERROR(__xludf.DUMMYFUNCTION("""COMPUTED_VALUE"""),"Лицей 344")</f>
        <v>Лицей 344</v>
      </c>
      <c r="E85" s="5">
        <f ca="1">IFERROR(__xludf.DUMMYFUNCTION("""COMPUTED_VALUE"""),7)</f>
        <v>7</v>
      </c>
      <c r="F85" s="5">
        <f ca="1">IFERROR(__xludf.DUMMYFUNCTION("""COMPUTED_VALUE"""),3)</f>
        <v>3</v>
      </c>
      <c r="G85" s="5"/>
      <c r="H85" s="5">
        <f ca="1">IFERROR(__xludf.DUMMYFUNCTION("""COMPUTED_VALUE"""),7)</f>
        <v>7</v>
      </c>
      <c r="I85" s="5"/>
      <c r="J85" s="5"/>
      <c r="K85" s="5"/>
      <c r="L85" s="5"/>
      <c r="M85">
        <f ca="1">IFERROR(__xludf.DUMMYFUNCTION("""COMPUTED_VALUE"""),17)</f>
        <v>17</v>
      </c>
      <c r="N85" s="8" t="str">
        <f ca="1">IFERROR(__xludf.DUMMYFUNCTION("""COMPUTED_VALUE"""),"ПО2")</f>
        <v>ПО2</v>
      </c>
    </row>
    <row r="86" spans="1:14" ht="12.45" hidden="1">
      <c r="A86" t="str">
        <f ca="1">IFERROR(__xludf.DUMMYFUNCTION("""COMPUTED_VALUE"""),"V-4-376")</f>
        <v>V-4-376</v>
      </c>
      <c r="B86" t="str">
        <f ca="1">IFERROR(__xludf.DUMMYFUNCTION("""COMPUTED_VALUE"""),"Пухов")</f>
        <v>Пухов</v>
      </c>
      <c r="C86" t="str">
        <f ca="1">IFERROR(__xludf.DUMMYFUNCTION("""COMPUTED_VALUE"""),"Дмитрий")</f>
        <v>Дмитрий</v>
      </c>
      <c r="D86" t="str">
        <f ca="1">IFERROR(__xludf.DUMMYFUNCTION("""COMPUTED_VALUE"""),"Лицей 150")</f>
        <v>Лицей 150</v>
      </c>
      <c r="E86" s="5">
        <f ca="1">IFERROR(__xludf.DUMMYFUNCTION("""COMPUTED_VALUE"""),7)</f>
        <v>7</v>
      </c>
      <c r="F86" s="5">
        <f ca="1">IFERROR(__xludf.DUMMYFUNCTION("""COMPUTED_VALUE"""),7)</f>
        <v>7</v>
      </c>
      <c r="G86" s="5"/>
      <c r="H86" s="5"/>
      <c r="I86" s="5">
        <f ca="1">IFERROR(__xludf.DUMMYFUNCTION("""COMPUTED_VALUE"""),3)</f>
        <v>3</v>
      </c>
      <c r="J86" s="5"/>
      <c r="K86" s="5"/>
      <c r="L86" s="5"/>
      <c r="M86">
        <f ca="1">IFERROR(__xludf.DUMMYFUNCTION("""COMPUTED_VALUE"""),17)</f>
        <v>17</v>
      </c>
      <c r="N86" s="8" t="str">
        <f ca="1">IFERROR(__xludf.DUMMYFUNCTION("""COMPUTED_VALUE"""),"ПО2")</f>
        <v>ПО2</v>
      </c>
    </row>
    <row r="87" spans="1:14" ht="12.45" hidden="1">
      <c r="A87" t="str">
        <f ca="1">IFERROR(__xludf.DUMMYFUNCTION("""COMPUTED_VALUE"""),"V-4-475")</f>
        <v>V-4-475</v>
      </c>
      <c r="B87" t="str">
        <f ca="1">IFERROR(__xludf.DUMMYFUNCTION("""COMPUTED_VALUE"""),"Фоканов")</f>
        <v>Фоканов</v>
      </c>
      <c r="C87" t="str">
        <f ca="1">IFERROR(__xludf.DUMMYFUNCTION("""COMPUTED_VALUE"""),"Константин")</f>
        <v>Константин</v>
      </c>
      <c r="D87" t="str">
        <f ca="1">IFERROR(__xludf.DUMMYFUNCTION("""COMPUTED_VALUE"""),"Лицей 101")</f>
        <v>Лицей 101</v>
      </c>
      <c r="E87" s="5">
        <f ca="1">IFERROR(__xludf.DUMMYFUNCTION("""COMPUTED_VALUE"""),7)</f>
        <v>7</v>
      </c>
      <c r="F87" s="5">
        <f ca="1">IFERROR(__xludf.DUMMYFUNCTION("""COMPUTED_VALUE"""),2)</f>
        <v>2</v>
      </c>
      <c r="G87" s="5">
        <f ca="1">IFERROR(__xludf.DUMMYFUNCTION("""COMPUTED_VALUE"""),2)</f>
        <v>2</v>
      </c>
      <c r="H87" s="5"/>
      <c r="I87" s="5">
        <f ca="1">IFERROR(__xludf.DUMMYFUNCTION("""COMPUTED_VALUE"""),4)</f>
        <v>4</v>
      </c>
      <c r="J87" s="5">
        <f ca="1">IFERROR(__xludf.DUMMYFUNCTION("""COMPUTED_VALUE"""),2)</f>
        <v>2</v>
      </c>
      <c r="K87" s="5"/>
      <c r="L87" s="5"/>
      <c r="M87">
        <f ca="1">IFERROR(__xludf.DUMMYFUNCTION("""COMPUTED_VALUE"""),17)</f>
        <v>17</v>
      </c>
      <c r="N87" s="8" t="str">
        <f ca="1">IFERROR(__xludf.DUMMYFUNCTION("""COMPUTED_VALUE"""),"ПО2")</f>
        <v>ПО2</v>
      </c>
    </row>
    <row r="88" spans="1:14" ht="12.45" hidden="1">
      <c r="A88" t="str">
        <f ca="1">IFERROR(__xludf.DUMMYFUNCTION("""COMPUTED_VALUE"""),"V-4-491")</f>
        <v>V-4-491</v>
      </c>
      <c r="B88" t="str">
        <f ca="1">IFERROR(__xludf.DUMMYFUNCTION("""COMPUTED_VALUE"""),"Чичель")</f>
        <v>Чичель</v>
      </c>
      <c r="C88" t="str">
        <f ca="1">IFERROR(__xludf.DUMMYFUNCTION("""COMPUTED_VALUE"""),"Владимир")</f>
        <v>Владимир</v>
      </c>
      <c r="D88" t="str">
        <f ca="1">IFERROR(__xludf.DUMMYFUNCTION("""COMPUTED_VALUE"""),"Школа 667")</f>
        <v>Школа 667</v>
      </c>
      <c r="E88" s="5">
        <f ca="1">IFERROR(__xludf.DUMMYFUNCTION("""COMPUTED_VALUE"""),7)</f>
        <v>7</v>
      </c>
      <c r="F88" s="5">
        <f ca="1">IFERROR(__xludf.DUMMYFUNCTION("""COMPUTED_VALUE"""),7)</f>
        <v>7</v>
      </c>
      <c r="G88" s="5">
        <f ca="1">IFERROR(__xludf.DUMMYFUNCTION("""COMPUTED_VALUE"""),2)</f>
        <v>2</v>
      </c>
      <c r="H88" s="5"/>
      <c r="I88" s="5">
        <f ca="1">IFERROR(__xludf.DUMMYFUNCTION("""COMPUTED_VALUE"""),1)</f>
        <v>1</v>
      </c>
      <c r="J88" s="5"/>
      <c r="K88" s="5"/>
      <c r="L88" s="5"/>
      <c r="M88">
        <f ca="1">IFERROR(__xludf.DUMMYFUNCTION("""COMPUTED_VALUE"""),17)</f>
        <v>17</v>
      </c>
      <c r="N88" s="8" t="str">
        <f ca="1">IFERROR(__xludf.DUMMYFUNCTION("""COMPUTED_VALUE"""),"ПО2")</f>
        <v>ПО2</v>
      </c>
    </row>
    <row r="89" spans="1:14" ht="12.45" hidden="1">
      <c r="A89" t="str">
        <f ca="1">IFERROR(__xludf.DUMMYFUNCTION("""COMPUTED_VALUE"""),"III-4-053")</f>
        <v>III-4-053</v>
      </c>
      <c r="B89" t="str">
        <f ca="1">IFERROR(__xludf.DUMMYFUNCTION("""COMPUTED_VALUE"""),"Бойко")</f>
        <v>Бойко</v>
      </c>
      <c r="C89" t="str">
        <f ca="1">IFERROR(__xludf.DUMMYFUNCTION("""COMPUTED_VALUE"""),"Владислав")</f>
        <v>Владислав</v>
      </c>
      <c r="D89" t="str">
        <f ca="1">IFERROR(__xludf.DUMMYFUNCTION("""COMPUTED_VALUE"""),"Гимназия 446")</f>
        <v>Гимназия 446</v>
      </c>
      <c r="E89" s="5">
        <f ca="1">IFERROR(__xludf.DUMMYFUNCTION("""COMPUTED_VALUE"""),7)</f>
        <v>7</v>
      </c>
      <c r="F89" s="5">
        <f ca="1">IFERROR(__xludf.DUMMYFUNCTION("""COMPUTED_VALUE"""),3)</f>
        <v>3</v>
      </c>
      <c r="G89" s="5">
        <f ca="1">IFERROR(__xludf.DUMMYFUNCTION("""COMPUTED_VALUE"""),4)</f>
        <v>4</v>
      </c>
      <c r="H89" s="5"/>
      <c r="I89" s="5">
        <f ca="1">IFERROR(__xludf.DUMMYFUNCTION("""COMPUTED_VALUE"""),2)</f>
        <v>2</v>
      </c>
      <c r="J89" s="5"/>
      <c r="K89" s="5"/>
      <c r="L89" s="5"/>
      <c r="M89">
        <f ca="1">IFERROR(__xludf.DUMMYFUNCTION("""COMPUTED_VALUE"""),16)</f>
        <v>16</v>
      </c>
      <c r="N89" s="8" t="str">
        <f ca="1">IFERROR(__xludf.DUMMYFUNCTION("""COMPUTED_VALUE"""),"ПО2")</f>
        <v>ПО2</v>
      </c>
    </row>
    <row r="90" spans="1:14" ht="12.45" hidden="1">
      <c r="A90" t="str">
        <f ca="1">IFERROR(__xludf.DUMMYFUNCTION("""COMPUTED_VALUE"""),"III-4-075")</f>
        <v>III-4-075</v>
      </c>
      <c r="B90" t="str">
        <f ca="1">IFERROR(__xludf.DUMMYFUNCTION("""COMPUTED_VALUE"""),"Бучнев")</f>
        <v>Бучнев</v>
      </c>
      <c r="C90" t="str">
        <f ca="1">IFERROR(__xludf.DUMMYFUNCTION("""COMPUTED_VALUE"""),"Михаил")</f>
        <v>Михаил</v>
      </c>
      <c r="D90" t="str">
        <f ca="1">IFERROR(__xludf.DUMMYFUNCTION("""COMPUTED_VALUE"""),"Гимназия 70")</f>
        <v>Гимназия 70</v>
      </c>
      <c r="E90" s="5">
        <f ca="1">IFERROR(__xludf.DUMMYFUNCTION("""COMPUTED_VALUE"""),7)</f>
        <v>7</v>
      </c>
      <c r="F90" s="5">
        <f ca="1">IFERROR(__xludf.DUMMYFUNCTION("""COMPUTED_VALUE"""),7)</f>
        <v>7</v>
      </c>
      <c r="G90" s="5"/>
      <c r="H90" s="5"/>
      <c r="I90" s="5">
        <f ca="1">IFERROR(__xludf.DUMMYFUNCTION("""COMPUTED_VALUE"""),2)</f>
        <v>2</v>
      </c>
      <c r="J90" s="5"/>
      <c r="K90" s="5"/>
      <c r="L90" s="5"/>
      <c r="M90">
        <f ca="1">IFERROR(__xludf.DUMMYFUNCTION("""COMPUTED_VALUE"""),16)</f>
        <v>16</v>
      </c>
      <c r="N90" s="8" t="str">
        <f ca="1">IFERROR(__xludf.DUMMYFUNCTION("""COMPUTED_VALUE"""),"ПО2")</f>
        <v>ПО2</v>
      </c>
    </row>
    <row r="91" spans="1:14" ht="12.45" hidden="1">
      <c r="A91" t="str">
        <f ca="1">IFERROR(__xludf.DUMMYFUNCTION("""COMPUTED_VALUE"""),"III-4-131")</f>
        <v>III-4-131</v>
      </c>
      <c r="B91" t="str">
        <f ca="1">IFERROR(__xludf.DUMMYFUNCTION("""COMPUTED_VALUE"""),"Грачев")</f>
        <v>Грачев</v>
      </c>
      <c r="C91" t="str">
        <f ca="1">IFERROR(__xludf.DUMMYFUNCTION("""COMPUTED_VALUE"""),"Егор")</f>
        <v>Егор</v>
      </c>
      <c r="D91" t="str">
        <f ca="1">IFERROR(__xludf.DUMMYFUNCTION("""COMPUTED_VALUE"""),"Школа 365")</f>
        <v>Школа 365</v>
      </c>
      <c r="E91" s="5">
        <f ca="1">IFERROR(__xludf.DUMMYFUNCTION("""COMPUTED_VALUE"""),7)</f>
        <v>7</v>
      </c>
      <c r="F91" s="5">
        <f ca="1">IFERROR(__xludf.DUMMYFUNCTION("""COMPUTED_VALUE"""),4)</f>
        <v>4</v>
      </c>
      <c r="G91" s="5">
        <f ca="1">IFERROR(__xludf.DUMMYFUNCTION("""COMPUTED_VALUE"""),3)</f>
        <v>3</v>
      </c>
      <c r="H91" s="5"/>
      <c r="I91" s="5">
        <f ca="1">IFERROR(__xludf.DUMMYFUNCTION("""COMPUTED_VALUE"""),2)</f>
        <v>2</v>
      </c>
      <c r="J91" s="5"/>
      <c r="K91" s="5"/>
      <c r="L91" s="5"/>
      <c r="M91">
        <f ca="1">IFERROR(__xludf.DUMMYFUNCTION("""COMPUTED_VALUE"""),16)</f>
        <v>16</v>
      </c>
      <c r="N91" s="8" t="str">
        <f ca="1">IFERROR(__xludf.DUMMYFUNCTION("""COMPUTED_VALUE"""),"ПО2")</f>
        <v>ПО2</v>
      </c>
    </row>
    <row r="92" spans="1:14" ht="12.45" hidden="1">
      <c r="A92" t="str">
        <f ca="1">IFERROR(__xludf.DUMMYFUNCTION("""COMPUTED_VALUE"""),"III-4-170")</f>
        <v>III-4-170</v>
      </c>
      <c r="B92" t="str">
        <f ca="1">IFERROR(__xludf.DUMMYFUNCTION("""COMPUTED_VALUE"""),"Ершов")</f>
        <v>Ершов</v>
      </c>
      <c r="C92" t="str">
        <f ca="1">IFERROR(__xludf.DUMMYFUNCTION("""COMPUTED_VALUE"""),"Максим")</f>
        <v>Максим</v>
      </c>
      <c r="D92" t="str">
        <f ca="1">IFERROR(__xludf.DUMMYFUNCTION("""COMPUTED_VALUE"""),"Лицей 344")</f>
        <v>Лицей 344</v>
      </c>
      <c r="E92" s="5">
        <f ca="1">IFERROR(__xludf.DUMMYFUNCTION("""COMPUTED_VALUE"""),7)</f>
        <v>7</v>
      </c>
      <c r="F92" s="5">
        <f ca="1">IFERROR(__xludf.DUMMYFUNCTION("""COMPUTED_VALUE"""),7)</f>
        <v>7</v>
      </c>
      <c r="G92" s="5"/>
      <c r="H92" s="5"/>
      <c r="I92" s="5">
        <f ca="1">IFERROR(__xludf.DUMMYFUNCTION("""COMPUTED_VALUE"""),2)</f>
        <v>2</v>
      </c>
      <c r="J92" s="5"/>
      <c r="K92" s="5"/>
      <c r="L92" s="5"/>
      <c r="M92">
        <f ca="1">IFERROR(__xludf.DUMMYFUNCTION("""COMPUTED_VALUE"""),16)</f>
        <v>16</v>
      </c>
      <c r="N92" s="8" t="str">
        <f ca="1">IFERROR(__xludf.DUMMYFUNCTION("""COMPUTED_VALUE"""),"ПО2")</f>
        <v>ПО2</v>
      </c>
    </row>
    <row r="93" spans="1:14" ht="12.45" hidden="1">
      <c r="A93" t="str">
        <f ca="1">IFERROR(__xludf.DUMMYFUNCTION("""COMPUTED_VALUE"""),"III-4-238")</f>
        <v>III-4-238</v>
      </c>
      <c r="B93" t="str">
        <f ca="1">IFERROR(__xludf.DUMMYFUNCTION("""COMPUTED_VALUE"""),"Косякин")</f>
        <v>Косякин</v>
      </c>
      <c r="C93" t="str">
        <f ca="1">IFERROR(__xludf.DUMMYFUNCTION("""COMPUTED_VALUE"""),"Андрей")</f>
        <v>Андрей</v>
      </c>
      <c r="D93" t="str">
        <f ca="1">IFERROR(__xludf.DUMMYFUNCTION("""COMPUTED_VALUE"""),"Гимназия 261")</f>
        <v>Гимназия 261</v>
      </c>
      <c r="E93" s="5">
        <f ca="1">IFERROR(__xludf.DUMMYFUNCTION("""COMPUTED_VALUE"""),7)</f>
        <v>7</v>
      </c>
      <c r="F93" s="5">
        <f ca="1">IFERROR(__xludf.DUMMYFUNCTION("""COMPUTED_VALUE"""),3)</f>
        <v>3</v>
      </c>
      <c r="G93" s="5">
        <f ca="1">IFERROR(__xludf.DUMMYFUNCTION("""COMPUTED_VALUE"""),3)</f>
        <v>3</v>
      </c>
      <c r="H93" s="5"/>
      <c r="I93" s="5">
        <f ca="1">IFERROR(__xludf.DUMMYFUNCTION("""COMPUTED_VALUE"""),3)</f>
        <v>3</v>
      </c>
      <c r="J93" s="5"/>
      <c r="K93" s="5"/>
      <c r="L93" s="5"/>
      <c r="M93">
        <f ca="1">IFERROR(__xludf.DUMMYFUNCTION("""COMPUTED_VALUE"""),16)</f>
        <v>16</v>
      </c>
      <c r="N93" s="8" t="str">
        <f ca="1">IFERROR(__xludf.DUMMYFUNCTION("""COMPUTED_VALUE"""),"ПО2")</f>
        <v>ПО2</v>
      </c>
    </row>
    <row r="94" spans="1:14" ht="12.45" hidden="1">
      <c r="A94" t="str">
        <f ca="1">IFERROR(__xludf.DUMMYFUNCTION("""COMPUTED_VALUE"""),"V-4-267")</f>
        <v>V-4-267</v>
      </c>
      <c r="B94" t="str">
        <f ca="1">IFERROR(__xludf.DUMMYFUNCTION("""COMPUTED_VALUE"""),"Левакова")</f>
        <v>Левакова</v>
      </c>
      <c r="C94" t="str">
        <f ca="1">IFERROR(__xludf.DUMMYFUNCTION("""COMPUTED_VALUE"""),"Екатерина")</f>
        <v>Екатерина</v>
      </c>
      <c r="D94" t="str">
        <f ca="1">IFERROR(__xludf.DUMMYFUNCTION("""COMPUTED_VALUE"""),"Школа 617")</f>
        <v>Школа 617</v>
      </c>
      <c r="E94" s="5">
        <f ca="1">IFERROR(__xludf.DUMMYFUNCTION("""COMPUTED_VALUE"""),4)</f>
        <v>4</v>
      </c>
      <c r="F94" s="5">
        <f ca="1">IFERROR(__xludf.DUMMYFUNCTION("""COMPUTED_VALUE"""),7)</f>
        <v>7</v>
      </c>
      <c r="G94" s="5">
        <f ca="1">IFERROR(__xludf.DUMMYFUNCTION("""COMPUTED_VALUE"""),0)</f>
        <v>0</v>
      </c>
      <c r="H94" s="5">
        <f ca="1">IFERROR(__xludf.DUMMYFUNCTION("""COMPUTED_VALUE"""),0)</f>
        <v>0</v>
      </c>
      <c r="I94" s="5">
        <f ca="1">IFERROR(__xludf.DUMMYFUNCTION("""COMPUTED_VALUE"""),5)</f>
        <v>5</v>
      </c>
      <c r="J94" s="5"/>
      <c r="K94" s="5"/>
      <c r="L94" s="5"/>
      <c r="M94">
        <f ca="1">IFERROR(__xludf.DUMMYFUNCTION("""COMPUTED_VALUE"""),16)</f>
        <v>16</v>
      </c>
      <c r="N94" s="8" t="str">
        <f ca="1">IFERROR(__xludf.DUMMYFUNCTION("""COMPUTED_VALUE"""),"ПО2")</f>
        <v>ПО2</v>
      </c>
    </row>
    <row r="95" spans="1:14" ht="12.45" hidden="1">
      <c r="A95" t="str">
        <f ca="1">IFERROR(__xludf.DUMMYFUNCTION("""COMPUTED_VALUE"""),"V-4-288")</f>
        <v>V-4-288</v>
      </c>
      <c r="B95" t="str">
        <f ca="1">IFERROR(__xludf.DUMMYFUNCTION("""COMPUTED_VALUE"""),"Марков-Бутырский")</f>
        <v>Марков-Бутырский</v>
      </c>
      <c r="C95" t="str">
        <f ca="1">IFERROR(__xludf.DUMMYFUNCTION("""COMPUTED_VALUE"""),"Максим")</f>
        <v>Максим</v>
      </c>
      <c r="D95" t="str">
        <f ca="1">IFERROR(__xludf.DUMMYFUNCTION("""COMPUTED_VALUE"""),"Гимназия 56")</f>
        <v>Гимназия 56</v>
      </c>
      <c r="E95" s="5">
        <f ca="1">IFERROR(__xludf.DUMMYFUNCTION("""COMPUTED_VALUE"""),7)</f>
        <v>7</v>
      </c>
      <c r="F95" s="5">
        <f ca="1">IFERROR(__xludf.DUMMYFUNCTION("""COMPUTED_VALUE"""),7)</f>
        <v>7</v>
      </c>
      <c r="G95" s="5"/>
      <c r="H95" s="5"/>
      <c r="I95" s="5">
        <f ca="1">IFERROR(__xludf.DUMMYFUNCTION("""COMPUTED_VALUE"""),2)</f>
        <v>2</v>
      </c>
      <c r="J95" s="5"/>
      <c r="K95" s="5"/>
      <c r="L95" s="5"/>
      <c r="M95">
        <f ca="1">IFERROR(__xludf.DUMMYFUNCTION("""COMPUTED_VALUE"""),16)</f>
        <v>16</v>
      </c>
      <c r="N95" s="8" t="str">
        <f ca="1">IFERROR(__xludf.DUMMYFUNCTION("""COMPUTED_VALUE"""),"ПО2")</f>
        <v>ПО2</v>
      </c>
    </row>
    <row r="96" spans="1:14" ht="12.45" hidden="1">
      <c r="A96" t="str">
        <f ca="1">IFERROR(__xludf.DUMMYFUNCTION("""COMPUTED_VALUE"""),"V-4-294")</f>
        <v>V-4-294</v>
      </c>
      <c r="B96" t="str">
        <f ca="1">IFERROR(__xludf.DUMMYFUNCTION("""COMPUTED_VALUE"""),"Меркурьев")</f>
        <v>Меркурьев</v>
      </c>
      <c r="C96" t="str">
        <f ca="1">IFERROR(__xludf.DUMMYFUNCTION("""COMPUTED_VALUE"""),"Иван")</f>
        <v>Иван</v>
      </c>
      <c r="D96" t="str">
        <f ca="1">IFERROR(__xludf.DUMMYFUNCTION("""COMPUTED_VALUE"""),"Лицей 126")</f>
        <v>Лицей 126</v>
      </c>
      <c r="E96" s="5">
        <f ca="1">IFERROR(__xludf.DUMMYFUNCTION("""COMPUTED_VALUE"""),7)</f>
        <v>7</v>
      </c>
      <c r="F96" s="5"/>
      <c r="G96" s="5">
        <f ca="1">IFERROR(__xludf.DUMMYFUNCTION("""COMPUTED_VALUE"""),2)</f>
        <v>2</v>
      </c>
      <c r="H96" s="5">
        <f ca="1">IFERROR(__xludf.DUMMYFUNCTION("""COMPUTED_VALUE"""),7)</f>
        <v>7</v>
      </c>
      <c r="I96" s="5"/>
      <c r="J96" s="5"/>
      <c r="K96" s="5"/>
      <c r="L96" s="5"/>
      <c r="M96">
        <f ca="1">IFERROR(__xludf.DUMMYFUNCTION("""COMPUTED_VALUE"""),16)</f>
        <v>16</v>
      </c>
      <c r="N96" s="8" t="str">
        <f ca="1">IFERROR(__xludf.DUMMYFUNCTION("""COMPUTED_VALUE"""),"ПО2")</f>
        <v>ПО2</v>
      </c>
    </row>
    <row r="97" spans="1:14" ht="12.45" hidden="1">
      <c r="A97" t="str">
        <f ca="1">IFERROR(__xludf.DUMMYFUNCTION("""COMPUTED_VALUE"""),"V-4-703")</f>
        <v>V-4-703</v>
      </c>
      <c r="B97" t="str">
        <f ca="1">IFERROR(__xludf.DUMMYFUNCTION("""COMPUTED_VALUE"""),"Смирнов")</f>
        <v>Смирнов</v>
      </c>
      <c r="C97" t="str">
        <f ca="1">IFERROR(__xludf.DUMMYFUNCTION("""COMPUTED_VALUE"""),"Александр")</f>
        <v>Александр</v>
      </c>
      <c r="D97" t="str">
        <f ca="1">IFERROR(__xludf.DUMMYFUNCTION("""COMPUTED_VALUE"""),"Гимназия 116")</f>
        <v>Гимназия 116</v>
      </c>
      <c r="E97" s="5"/>
      <c r="F97" s="5">
        <f ca="1">IFERROR(__xludf.DUMMYFUNCTION("""COMPUTED_VALUE"""),7)</f>
        <v>7</v>
      </c>
      <c r="G97" s="5">
        <f ca="1">IFERROR(__xludf.DUMMYFUNCTION("""COMPUTED_VALUE"""),2)</f>
        <v>2</v>
      </c>
      <c r="H97" s="5"/>
      <c r="I97" s="5">
        <f ca="1">IFERROR(__xludf.DUMMYFUNCTION("""COMPUTED_VALUE"""),7)</f>
        <v>7</v>
      </c>
      <c r="J97" s="5"/>
      <c r="K97" s="5"/>
      <c r="L97" s="5"/>
      <c r="M97">
        <f ca="1">IFERROR(__xludf.DUMMYFUNCTION("""COMPUTED_VALUE"""),16)</f>
        <v>16</v>
      </c>
      <c r="N97" s="8" t="str">
        <f ca="1">IFERROR(__xludf.DUMMYFUNCTION("""COMPUTED_VALUE"""),"ПО2")</f>
        <v>ПО2</v>
      </c>
    </row>
    <row r="98" spans="1:14" ht="12.45" hidden="1">
      <c r="A98" t="str">
        <f ca="1">IFERROR(__xludf.DUMMYFUNCTION("""COMPUTED_VALUE"""),"V-4-461")</f>
        <v>V-4-461</v>
      </c>
      <c r="B98" t="str">
        <f ca="1">IFERROR(__xludf.DUMMYFUNCTION("""COMPUTED_VALUE"""),"Турзин")</f>
        <v>Турзин</v>
      </c>
      <c r="C98" t="str">
        <f ca="1">IFERROR(__xludf.DUMMYFUNCTION("""COMPUTED_VALUE"""),"Семен")</f>
        <v>Семен</v>
      </c>
      <c r="D98" t="str">
        <f ca="1">IFERROR(__xludf.DUMMYFUNCTION("""COMPUTED_VALUE"""),"Гимназия 66")</f>
        <v>Гимназия 66</v>
      </c>
      <c r="E98" s="5">
        <f ca="1">IFERROR(__xludf.DUMMYFUNCTION("""COMPUTED_VALUE"""),7)</f>
        <v>7</v>
      </c>
      <c r="F98" s="5">
        <f ca="1">IFERROR(__xludf.DUMMYFUNCTION("""COMPUTED_VALUE"""),7)</f>
        <v>7</v>
      </c>
      <c r="G98" s="5"/>
      <c r="H98" s="5"/>
      <c r="I98" s="5">
        <f ca="1">IFERROR(__xludf.DUMMYFUNCTION("""COMPUTED_VALUE"""),2)</f>
        <v>2</v>
      </c>
      <c r="J98" s="5"/>
      <c r="K98" s="5"/>
      <c r="L98" s="5"/>
      <c r="M98">
        <f ca="1">IFERROR(__xludf.DUMMYFUNCTION("""COMPUTED_VALUE"""),16)</f>
        <v>16</v>
      </c>
      <c r="N98" s="8" t="str">
        <f ca="1">IFERROR(__xludf.DUMMYFUNCTION("""COMPUTED_VALUE"""),"ПО2")</f>
        <v>ПО2</v>
      </c>
    </row>
    <row r="99" spans="1:14" ht="12.45" hidden="1">
      <c r="A99" t="str">
        <f ca="1">IFERROR(__xludf.DUMMYFUNCTION("""COMPUTED_VALUE"""),"V-4-462")</f>
        <v>V-4-462</v>
      </c>
      <c r="B99" t="str">
        <f ca="1">IFERROR(__xludf.DUMMYFUNCTION("""COMPUTED_VALUE"""),"Туркин")</f>
        <v>Туркин</v>
      </c>
      <c r="C99" t="str">
        <f ca="1">IFERROR(__xludf.DUMMYFUNCTION("""COMPUTED_VALUE"""),"Максим")</f>
        <v>Максим</v>
      </c>
      <c r="D99" t="str">
        <f ca="1">IFERROR(__xludf.DUMMYFUNCTION("""COMPUTED_VALUE"""),"Школа 544")</f>
        <v>Школа 544</v>
      </c>
      <c r="E99" s="5">
        <f ca="1">IFERROR(__xludf.DUMMYFUNCTION("""COMPUTED_VALUE"""),7)</f>
        <v>7</v>
      </c>
      <c r="F99" s="5">
        <f ca="1">IFERROR(__xludf.DUMMYFUNCTION("""COMPUTED_VALUE"""),3)</f>
        <v>3</v>
      </c>
      <c r="G99" s="5">
        <f ca="1">IFERROR(__xludf.DUMMYFUNCTION("""COMPUTED_VALUE"""),3)</f>
        <v>3</v>
      </c>
      <c r="H99" s="5"/>
      <c r="I99" s="5">
        <f ca="1">IFERROR(__xludf.DUMMYFUNCTION("""COMPUTED_VALUE"""),3)</f>
        <v>3</v>
      </c>
      <c r="J99" s="5"/>
      <c r="K99" s="5"/>
      <c r="L99" s="5"/>
      <c r="M99">
        <f ca="1">IFERROR(__xludf.DUMMYFUNCTION("""COMPUTED_VALUE"""),16)</f>
        <v>16</v>
      </c>
      <c r="N99" s="8" t="str">
        <f ca="1">IFERROR(__xludf.DUMMYFUNCTION("""COMPUTED_VALUE"""),"ПО2")</f>
        <v>ПО2</v>
      </c>
    </row>
    <row r="100" spans="1:14" ht="12.45" hidden="1">
      <c r="A100" t="str">
        <f ca="1">IFERROR(__xludf.DUMMYFUNCTION("""COMPUTED_VALUE"""),"V-4-474")</f>
        <v>V-4-474</v>
      </c>
      <c r="B100" t="str">
        <f ca="1">IFERROR(__xludf.DUMMYFUNCTION("""COMPUTED_VALUE"""),"Филонова")</f>
        <v>Филонова</v>
      </c>
      <c r="C100" t="str">
        <f ca="1">IFERROR(__xludf.DUMMYFUNCTION("""COMPUTED_VALUE"""),"Татьяна")</f>
        <v>Татьяна</v>
      </c>
      <c r="D100" t="str">
        <f ca="1">IFERROR(__xludf.DUMMYFUNCTION("""COMPUTED_VALUE"""),"Гимназия 11")</f>
        <v>Гимназия 11</v>
      </c>
      <c r="E100" s="5">
        <f ca="1">IFERROR(__xludf.DUMMYFUNCTION("""COMPUTED_VALUE"""),7)</f>
        <v>7</v>
      </c>
      <c r="F100" s="5"/>
      <c r="G100" s="5"/>
      <c r="H100" s="5">
        <f ca="1">IFERROR(__xludf.DUMMYFUNCTION("""COMPUTED_VALUE"""),2)</f>
        <v>2</v>
      </c>
      <c r="I100" s="5"/>
      <c r="J100" s="5">
        <f ca="1">IFERROR(__xludf.DUMMYFUNCTION("""COMPUTED_VALUE"""),7)</f>
        <v>7</v>
      </c>
      <c r="K100" s="5"/>
      <c r="L100" s="5"/>
      <c r="M100">
        <f ca="1">IFERROR(__xludf.DUMMYFUNCTION("""COMPUTED_VALUE"""),16)</f>
        <v>16</v>
      </c>
      <c r="N100" s="8" t="str">
        <f ca="1">IFERROR(__xludf.DUMMYFUNCTION("""COMPUTED_VALUE"""),"ПО2")</f>
        <v>ПО2</v>
      </c>
    </row>
    <row r="101" spans="1:14" ht="12.45" hidden="1">
      <c r="A101" t="str">
        <f ca="1">IFERROR(__xludf.DUMMYFUNCTION("""COMPUTED_VALUE"""),"V-4-511")</f>
        <v>V-4-511</v>
      </c>
      <c r="B101" t="str">
        <f ca="1">IFERROR(__xludf.DUMMYFUNCTION("""COMPUTED_VALUE"""),"Шкуратов")</f>
        <v>Шкуратов</v>
      </c>
      <c r="C101" t="str">
        <f ca="1">IFERROR(__xludf.DUMMYFUNCTION("""COMPUTED_VALUE"""),"Даниил")</f>
        <v>Даниил</v>
      </c>
      <c r="D101" t="str">
        <f ca="1">IFERROR(__xludf.DUMMYFUNCTION("""COMPUTED_VALUE"""),"Школа 249")</f>
        <v>Школа 249</v>
      </c>
      <c r="E101" s="5">
        <f ca="1">IFERROR(__xludf.DUMMYFUNCTION("""COMPUTED_VALUE"""),7)</f>
        <v>7</v>
      </c>
      <c r="F101" s="5">
        <f ca="1">IFERROR(__xludf.DUMMYFUNCTION("""COMPUTED_VALUE"""),7)</f>
        <v>7</v>
      </c>
      <c r="G101" s="5">
        <f ca="1">IFERROR(__xludf.DUMMYFUNCTION("""COMPUTED_VALUE"""),2)</f>
        <v>2</v>
      </c>
      <c r="H101" s="5"/>
      <c r="I101" s="5"/>
      <c r="J101" s="5"/>
      <c r="K101" s="5"/>
      <c r="L101" s="5"/>
      <c r="M101">
        <f ca="1">IFERROR(__xludf.DUMMYFUNCTION("""COMPUTED_VALUE"""),16)</f>
        <v>16</v>
      </c>
      <c r="N101" s="8" t="str">
        <f ca="1">IFERROR(__xludf.DUMMYFUNCTION("""COMPUTED_VALUE"""),"ПО2")</f>
        <v>ПО2</v>
      </c>
    </row>
    <row r="102" spans="1:14" ht="12.45" hidden="1">
      <c r="A102" t="str">
        <f ca="1">IFERROR(__xludf.DUMMYFUNCTION("""COMPUTED_VALUE"""),"III-4-012")</f>
        <v>III-4-012</v>
      </c>
      <c r="B102" t="str">
        <f ca="1">IFERROR(__xludf.DUMMYFUNCTION("""COMPUTED_VALUE"""),"Андреева")</f>
        <v>Андреева</v>
      </c>
      <c r="C102" t="str">
        <f ca="1">IFERROR(__xludf.DUMMYFUNCTION("""COMPUTED_VALUE"""),"Анна")</f>
        <v>Анна</v>
      </c>
      <c r="D102" t="str">
        <f ca="1">IFERROR(__xludf.DUMMYFUNCTION("""COMPUTED_VALUE"""),"Школа Цодив (частная школа)")</f>
        <v>Школа Цодив (частная школа)</v>
      </c>
      <c r="E102" s="5">
        <f ca="1">IFERROR(__xludf.DUMMYFUNCTION("""COMPUTED_VALUE"""),7)</f>
        <v>7</v>
      </c>
      <c r="F102" s="5">
        <f ca="1">IFERROR(__xludf.DUMMYFUNCTION("""COMPUTED_VALUE"""),3)</f>
        <v>3</v>
      </c>
      <c r="G102" s="5"/>
      <c r="H102" s="5"/>
      <c r="I102" s="5">
        <f ca="1">IFERROR(__xludf.DUMMYFUNCTION("""COMPUTED_VALUE"""),5)</f>
        <v>5</v>
      </c>
      <c r="J102" s="5"/>
      <c r="K102" s="5"/>
      <c r="L102" s="5"/>
      <c r="M102">
        <f ca="1">IFERROR(__xludf.DUMMYFUNCTION("""COMPUTED_VALUE"""),15)</f>
        <v>15</v>
      </c>
      <c r="N102" s="8" t="str">
        <f ca="1">IFERROR(__xludf.DUMMYFUNCTION("""COMPUTED_VALUE"""),"ПО2")</f>
        <v>ПО2</v>
      </c>
    </row>
    <row r="103" spans="1:14" ht="12.45" hidden="1">
      <c r="A103" t="str">
        <f ca="1">IFERROR(__xludf.DUMMYFUNCTION("""COMPUTED_VALUE"""),"III-4-033")</f>
        <v>III-4-033</v>
      </c>
      <c r="B103" t="str">
        <f ca="1">IFERROR(__xludf.DUMMYFUNCTION("""COMPUTED_VALUE"""),"Безручко")</f>
        <v>Безручко</v>
      </c>
      <c r="C103" t="str">
        <f ca="1">IFERROR(__xludf.DUMMYFUNCTION("""COMPUTED_VALUE"""),"Егор")</f>
        <v>Егор</v>
      </c>
      <c r="D103" t="str">
        <f ca="1">IFERROR(__xludf.DUMMYFUNCTION("""COMPUTED_VALUE"""),"Лицей 366")</f>
        <v>Лицей 366</v>
      </c>
      <c r="E103" s="5">
        <f ca="1">IFERROR(__xludf.DUMMYFUNCTION("""COMPUTED_VALUE"""),2)</f>
        <v>2</v>
      </c>
      <c r="F103" s="5">
        <f ca="1">IFERROR(__xludf.DUMMYFUNCTION("""COMPUTED_VALUE"""),7)</f>
        <v>7</v>
      </c>
      <c r="G103" s="5">
        <f ca="1">IFERROR(__xludf.DUMMYFUNCTION("""COMPUTED_VALUE"""),1)</f>
        <v>1</v>
      </c>
      <c r="H103" s="5"/>
      <c r="I103" s="5">
        <f ca="1">IFERROR(__xludf.DUMMYFUNCTION("""COMPUTED_VALUE"""),4)</f>
        <v>4</v>
      </c>
      <c r="J103" s="5"/>
      <c r="K103" s="5">
        <f ca="1">IFERROR(__xludf.DUMMYFUNCTION("""COMPUTED_VALUE"""),1)</f>
        <v>1</v>
      </c>
      <c r="L103" s="5"/>
      <c r="M103">
        <f ca="1">IFERROR(__xludf.DUMMYFUNCTION("""COMPUTED_VALUE"""),15)</f>
        <v>15</v>
      </c>
      <c r="N103" s="8" t="str">
        <f ca="1">IFERROR(__xludf.DUMMYFUNCTION("""COMPUTED_VALUE"""),"ПО2")</f>
        <v>ПО2</v>
      </c>
    </row>
    <row r="104" spans="1:14" ht="12.45" hidden="1">
      <c r="A104" t="str">
        <f ca="1">IFERROR(__xludf.DUMMYFUNCTION("""COMPUTED_VALUE"""),"III-4-047")</f>
        <v>III-4-047</v>
      </c>
      <c r="B104" t="str">
        <f ca="1">IFERROR(__xludf.DUMMYFUNCTION("""COMPUTED_VALUE"""),"Бибикова")</f>
        <v>Бибикова</v>
      </c>
      <c r="C104" t="str">
        <f ca="1">IFERROR(__xludf.DUMMYFUNCTION("""COMPUTED_VALUE"""),"Александра")</f>
        <v>Александра</v>
      </c>
      <c r="D104" t="str">
        <f ca="1">IFERROR(__xludf.DUMMYFUNCTION("""COMPUTED_VALUE"""),"Гимназия 261")</f>
        <v>Гимназия 261</v>
      </c>
      <c r="E104" s="5">
        <f ca="1">IFERROR(__xludf.DUMMYFUNCTION("""COMPUTED_VALUE"""),7)</f>
        <v>7</v>
      </c>
      <c r="F104" s="5">
        <f ca="1">IFERROR(__xludf.DUMMYFUNCTION("""COMPUTED_VALUE"""),2)</f>
        <v>2</v>
      </c>
      <c r="G104" s="5">
        <f ca="1">IFERROR(__xludf.DUMMYFUNCTION("""COMPUTED_VALUE"""),4)</f>
        <v>4</v>
      </c>
      <c r="H104" s="5"/>
      <c r="I104" s="5">
        <f ca="1">IFERROR(__xludf.DUMMYFUNCTION("""COMPUTED_VALUE"""),2)</f>
        <v>2</v>
      </c>
      <c r="J104" s="5"/>
      <c r="K104" s="5"/>
      <c r="L104" s="5"/>
      <c r="M104">
        <f ca="1">IFERROR(__xludf.DUMMYFUNCTION("""COMPUTED_VALUE"""),15)</f>
        <v>15</v>
      </c>
      <c r="N104" s="8" t="str">
        <f ca="1">IFERROR(__xludf.DUMMYFUNCTION("""COMPUTED_VALUE"""),"ПО2")</f>
        <v>ПО2</v>
      </c>
    </row>
    <row r="105" spans="1:14" ht="12.45" hidden="1">
      <c r="A105" t="str">
        <f ca="1">IFERROR(__xludf.DUMMYFUNCTION("""COMPUTED_VALUE"""),"III-4-176")</f>
        <v>III-4-176</v>
      </c>
      <c r="B105" t="str">
        <f ca="1">IFERROR(__xludf.DUMMYFUNCTION("""COMPUTED_VALUE"""),"Жуков")</f>
        <v>Жуков</v>
      </c>
      <c r="C105" t="str">
        <f ca="1">IFERROR(__xludf.DUMMYFUNCTION("""COMPUTED_VALUE"""),"Тимофей")</f>
        <v>Тимофей</v>
      </c>
      <c r="D105" t="str">
        <f ca="1">IFERROR(__xludf.DUMMYFUNCTION("""COMPUTED_VALUE"""),"Гимназия 261")</f>
        <v>Гимназия 261</v>
      </c>
      <c r="E105" s="5">
        <f ca="1">IFERROR(__xludf.DUMMYFUNCTION("""COMPUTED_VALUE"""),7)</f>
        <v>7</v>
      </c>
      <c r="F105" s="5">
        <f ca="1">IFERROR(__xludf.DUMMYFUNCTION("""COMPUTED_VALUE"""),4)</f>
        <v>4</v>
      </c>
      <c r="G105" s="5">
        <f ca="1">IFERROR(__xludf.DUMMYFUNCTION("""COMPUTED_VALUE"""),2)</f>
        <v>2</v>
      </c>
      <c r="H105" s="5"/>
      <c r="I105" s="5">
        <f ca="1">IFERROR(__xludf.DUMMYFUNCTION("""COMPUTED_VALUE"""),2)</f>
        <v>2</v>
      </c>
      <c r="J105" s="5"/>
      <c r="K105" s="5"/>
      <c r="L105" s="5"/>
      <c r="M105">
        <f ca="1">IFERROR(__xludf.DUMMYFUNCTION("""COMPUTED_VALUE"""),15)</f>
        <v>15</v>
      </c>
      <c r="N105" s="8" t="str">
        <f ca="1">IFERROR(__xludf.DUMMYFUNCTION("""COMPUTED_VALUE"""),"ПО2")</f>
        <v>ПО2</v>
      </c>
    </row>
    <row r="106" spans="1:14" ht="12.45" hidden="1">
      <c r="A106" t="str">
        <f ca="1">IFERROR(__xludf.DUMMYFUNCTION("""COMPUTED_VALUE"""),"III-4-194")</f>
        <v>III-4-194</v>
      </c>
      <c r="B106" t="str">
        <f ca="1">IFERROR(__xludf.DUMMYFUNCTION("""COMPUTED_VALUE"""),"Иванов")</f>
        <v>Иванов</v>
      </c>
      <c r="C106" t="str">
        <f ca="1">IFERROR(__xludf.DUMMYFUNCTION("""COMPUTED_VALUE"""),"Илья")</f>
        <v>Илья</v>
      </c>
      <c r="D106" t="str">
        <f ca="1">IFERROR(__xludf.DUMMYFUNCTION("""COMPUTED_VALUE"""),"Школа ЦРШ Код Успеха")</f>
        <v>Школа ЦРШ Код Успеха</v>
      </c>
      <c r="E106" s="5">
        <f ca="1">IFERROR(__xludf.DUMMYFUNCTION("""COMPUTED_VALUE"""),7)</f>
        <v>7</v>
      </c>
      <c r="F106" s="5">
        <f ca="1">IFERROR(__xludf.DUMMYFUNCTION("""COMPUTED_VALUE"""),3)</f>
        <v>3</v>
      </c>
      <c r="G106" s="5">
        <f ca="1">IFERROR(__xludf.DUMMYFUNCTION("""COMPUTED_VALUE"""),2)</f>
        <v>2</v>
      </c>
      <c r="H106" s="5"/>
      <c r="I106" s="5">
        <f ca="1">IFERROR(__xludf.DUMMYFUNCTION("""COMPUTED_VALUE"""),3)</f>
        <v>3</v>
      </c>
      <c r="J106" s="5"/>
      <c r="K106" s="5"/>
      <c r="L106" s="5"/>
      <c r="M106">
        <f ca="1">IFERROR(__xludf.DUMMYFUNCTION("""COMPUTED_VALUE"""),15)</f>
        <v>15</v>
      </c>
      <c r="N106" s="8" t="str">
        <f ca="1">IFERROR(__xludf.DUMMYFUNCTION("""COMPUTED_VALUE"""),"ПО2")</f>
        <v>ПО2</v>
      </c>
    </row>
    <row r="107" spans="1:14" ht="12.45" hidden="1">
      <c r="A107" t="str">
        <f ca="1">IFERROR(__xludf.DUMMYFUNCTION("""COMPUTED_VALUE"""),"V-4-383")</f>
        <v>V-4-383</v>
      </c>
      <c r="B107" t="str">
        <f ca="1">IFERROR(__xludf.DUMMYFUNCTION("""COMPUTED_VALUE"""),"Раковская")</f>
        <v>Раковская</v>
      </c>
      <c r="C107" t="str">
        <f ca="1">IFERROR(__xludf.DUMMYFUNCTION("""COMPUTED_VALUE"""),"Александра")</f>
        <v>Александра</v>
      </c>
      <c r="D107" t="str">
        <f ca="1">IFERROR(__xludf.DUMMYFUNCTION("""COMPUTED_VALUE"""),"Гимназия 642")</f>
        <v>Гимназия 642</v>
      </c>
      <c r="E107" s="5">
        <f ca="1">IFERROR(__xludf.DUMMYFUNCTION("""COMPUTED_VALUE"""),7)</f>
        <v>7</v>
      </c>
      <c r="F107" s="5">
        <f ca="1">IFERROR(__xludf.DUMMYFUNCTION("""COMPUTED_VALUE"""),7)</f>
        <v>7</v>
      </c>
      <c r="G107" s="5"/>
      <c r="H107" s="5"/>
      <c r="I107" s="5">
        <f ca="1">IFERROR(__xludf.DUMMYFUNCTION("""COMPUTED_VALUE"""),1)</f>
        <v>1</v>
      </c>
      <c r="J107" s="5"/>
      <c r="K107" s="5"/>
      <c r="L107" s="5"/>
      <c r="M107">
        <f ca="1">IFERROR(__xludf.DUMMYFUNCTION("""COMPUTED_VALUE"""),15)</f>
        <v>15</v>
      </c>
      <c r="N107" s="8" t="str">
        <f ca="1">IFERROR(__xludf.DUMMYFUNCTION("""COMPUTED_VALUE"""),"ПО2")</f>
        <v>ПО2</v>
      </c>
    </row>
    <row r="108" spans="1:14" ht="12.45" hidden="1">
      <c r="A108" t="str">
        <f ca="1">IFERROR(__xludf.DUMMYFUNCTION("""COMPUTED_VALUE"""),"V-4-385")</f>
        <v>V-4-385</v>
      </c>
      <c r="B108" t="str">
        <f ca="1">IFERROR(__xludf.DUMMYFUNCTION("""COMPUTED_VALUE"""),"Решетников")</f>
        <v>Решетников</v>
      </c>
      <c r="C108" t="str">
        <f ca="1">IFERROR(__xludf.DUMMYFUNCTION("""COMPUTED_VALUE"""),"Артём")</f>
        <v>Артём</v>
      </c>
      <c r="D108" t="str">
        <f ca="1">IFERROR(__xludf.DUMMYFUNCTION("""COMPUTED_VALUE"""),"Лицей 41")</f>
        <v>Лицей 41</v>
      </c>
      <c r="E108" s="5">
        <f ca="1">IFERROR(__xludf.DUMMYFUNCTION("""COMPUTED_VALUE"""),7)</f>
        <v>7</v>
      </c>
      <c r="F108" s="5">
        <f ca="1">IFERROR(__xludf.DUMMYFUNCTION("""COMPUTED_VALUE"""),7)</f>
        <v>7</v>
      </c>
      <c r="G108" s="5">
        <f ca="1">IFERROR(__xludf.DUMMYFUNCTION("""COMPUTED_VALUE"""),1)</f>
        <v>1</v>
      </c>
      <c r="H108" s="5"/>
      <c r="I108" s="5"/>
      <c r="J108" s="5"/>
      <c r="K108" s="5"/>
      <c r="L108" s="5"/>
      <c r="M108">
        <f ca="1">IFERROR(__xludf.DUMMYFUNCTION("""COMPUTED_VALUE"""),15)</f>
        <v>15</v>
      </c>
      <c r="N108" s="8" t="str">
        <f ca="1">IFERROR(__xludf.DUMMYFUNCTION("""COMPUTED_VALUE"""),"ПО2")</f>
        <v>ПО2</v>
      </c>
    </row>
    <row r="109" spans="1:14" ht="12.45" hidden="1">
      <c r="A109" t="str">
        <f ca="1">IFERROR(__xludf.DUMMYFUNCTION("""COMPUTED_VALUE"""),"V-1-464")</f>
        <v>V-1-464</v>
      </c>
      <c r="B109" t="str">
        <f ca="1">IFERROR(__xludf.DUMMYFUNCTION("""COMPUTED_VALUE"""),"Семенова")</f>
        <v>Семенова</v>
      </c>
      <c r="C109" t="str">
        <f ca="1">IFERROR(__xludf.DUMMYFUNCTION("""COMPUTED_VALUE"""),"Элина")</f>
        <v>Элина</v>
      </c>
      <c r="D109" t="str">
        <f ca="1">IFERROR(__xludf.DUMMYFUNCTION("""COMPUTED_VALUE"""),"Лицей 366")</f>
        <v>Лицей 366</v>
      </c>
      <c r="E109" s="5">
        <f ca="1">IFERROR(__xludf.DUMMYFUNCTION("""COMPUTED_VALUE"""),7)</f>
        <v>7</v>
      </c>
      <c r="F109" s="5">
        <f ca="1">IFERROR(__xludf.DUMMYFUNCTION("""COMPUTED_VALUE"""),3)</f>
        <v>3</v>
      </c>
      <c r="G109" s="5">
        <f ca="1">IFERROR(__xludf.DUMMYFUNCTION("""COMPUTED_VALUE"""),2)</f>
        <v>2</v>
      </c>
      <c r="H109" s="5">
        <f ca="1">IFERROR(__xludf.DUMMYFUNCTION("""COMPUTED_VALUE"""),0)</f>
        <v>0</v>
      </c>
      <c r="I109" s="5">
        <f ca="1">IFERROR(__xludf.DUMMYFUNCTION("""COMPUTED_VALUE"""),2)</f>
        <v>2</v>
      </c>
      <c r="J109" s="5">
        <f ca="1">IFERROR(__xludf.DUMMYFUNCTION("""COMPUTED_VALUE"""),1)</f>
        <v>1</v>
      </c>
      <c r="K109" s="5"/>
      <c r="L109" s="5"/>
      <c r="M109">
        <f ca="1">IFERROR(__xludf.DUMMYFUNCTION("""COMPUTED_VALUE"""),15)</f>
        <v>15</v>
      </c>
      <c r="N109" s="8" t="str">
        <f ca="1">IFERROR(__xludf.DUMMYFUNCTION("""COMPUTED_VALUE"""),"ПО2")</f>
        <v>ПО2</v>
      </c>
    </row>
    <row r="110" spans="1:14" ht="12.45" hidden="1">
      <c r="A110" t="str">
        <f ca="1">IFERROR(__xludf.DUMMYFUNCTION("""COMPUTED_VALUE"""),"V-4-422")</f>
        <v>V-4-422</v>
      </c>
      <c r="B110" t="str">
        <f ca="1">IFERROR(__xludf.DUMMYFUNCTION("""COMPUTED_VALUE"""),"Силевич")</f>
        <v>Силевич</v>
      </c>
      <c r="C110" t="str">
        <f ca="1">IFERROR(__xludf.DUMMYFUNCTION("""COMPUTED_VALUE"""),"Андрей")</f>
        <v>Андрей</v>
      </c>
      <c r="D110" t="str">
        <f ca="1">IFERROR(__xludf.DUMMYFUNCTION("""COMPUTED_VALUE"""),"Школа 44")</f>
        <v>Школа 44</v>
      </c>
      <c r="E110" s="5">
        <f ca="1">IFERROR(__xludf.DUMMYFUNCTION("""COMPUTED_VALUE"""),7)</f>
        <v>7</v>
      </c>
      <c r="F110" s="5">
        <f ca="1">IFERROR(__xludf.DUMMYFUNCTION("""COMPUTED_VALUE"""),5)</f>
        <v>5</v>
      </c>
      <c r="G110" s="5">
        <f ca="1">IFERROR(__xludf.DUMMYFUNCTION("""COMPUTED_VALUE"""),3)</f>
        <v>3</v>
      </c>
      <c r="H110" s="5"/>
      <c r="I110" s="5"/>
      <c r="J110" s="5"/>
      <c r="K110" s="5"/>
      <c r="L110" s="5"/>
      <c r="M110">
        <f ca="1">IFERROR(__xludf.DUMMYFUNCTION("""COMPUTED_VALUE"""),15)</f>
        <v>15</v>
      </c>
      <c r="N110" s="8" t="str">
        <f ca="1">IFERROR(__xludf.DUMMYFUNCTION("""COMPUTED_VALUE"""),"ПО2")</f>
        <v>ПО2</v>
      </c>
    </row>
    <row r="111" spans="1:14" ht="12.45" hidden="1">
      <c r="A111" t="str">
        <f ca="1">IFERROR(__xludf.DUMMYFUNCTION("""COMPUTED_VALUE"""),"V-4-433")</f>
        <v>V-4-433</v>
      </c>
      <c r="B111" t="str">
        <f ca="1">IFERROR(__xludf.DUMMYFUNCTION("""COMPUTED_VALUE"""),"Сон")</f>
        <v>Сон</v>
      </c>
      <c r="C111" t="str">
        <f ca="1">IFERROR(__xludf.DUMMYFUNCTION("""COMPUTED_VALUE"""),"Юнгир")</f>
        <v>Юнгир</v>
      </c>
      <c r="D111" t="str">
        <f ca="1">IFERROR(__xludf.DUMMYFUNCTION("""COMPUTED_VALUE"""),"Лицей 179")</f>
        <v>Лицей 179</v>
      </c>
      <c r="E111" s="5">
        <f ca="1">IFERROR(__xludf.DUMMYFUNCTION("""COMPUTED_VALUE"""),2)</f>
        <v>2</v>
      </c>
      <c r="F111" s="5">
        <f ca="1">IFERROR(__xludf.DUMMYFUNCTION("""COMPUTED_VALUE"""),3)</f>
        <v>3</v>
      </c>
      <c r="G111" s="5">
        <f ca="1">IFERROR(__xludf.DUMMYFUNCTION("""COMPUTED_VALUE"""),1)</f>
        <v>1</v>
      </c>
      <c r="H111" s="5">
        <f ca="1">IFERROR(__xludf.DUMMYFUNCTION("""COMPUTED_VALUE"""),0)</f>
        <v>0</v>
      </c>
      <c r="I111" s="5">
        <f ca="1">IFERROR(__xludf.DUMMYFUNCTION("""COMPUTED_VALUE"""),4)</f>
        <v>4</v>
      </c>
      <c r="J111" s="5">
        <f ca="1">IFERROR(__xludf.DUMMYFUNCTION("""COMPUTED_VALUE"""),4)</f>
        <v>4</v>
      </c>
      <c r="K111" s="5">
        <f ca="1">IFERROR(__xludf.DUMMYFUNCTION("""COMPUTED_VALUE"""),1)</f>
        <v>1</v>
      </c>
      <c r="L111" s="5">
        <f ca="1">IFERROR(__xludf.DUMMYFUNCTION("""COMPUTED_VALUE"""),0)</f>
        <v>0</v>
      </c>
      <c r="M111">
        <f ca="1">IFERROR(__xludf.DUMMYFUNCTION("""COMPUTED_VALUE"""),15)</f>
        <v>15</v>
      </c>
      <c r="N111" s="8" t="str">
        <f ca="1">IFERROR(__xludf.DUMMYFUNCTION("""COMPUTED_VALUE"""),"ПО2")</f>
        <v>ПО2</v>
      </c>
    </row>
    <row r="112" spans="1:14" ht="12.45" hidden="1">
      <c r="A112" t="str">
        <f ca="1">IFERROR(__xludf.DUMMYFUNCTION("""COMPUTED_VALUE"""),"III-4-009")</f>
        <v>III-4-009</v>
      </c>
      <c r="B112" t="str">
        <f ca="1">IFERROR(__xludf.DUMMYFUNCTION("""COMPUTED_VALUE"""),"Алексеев")</f>
        <v>Алексеев</v>
      </c>
      <c r="C112" t="str">
        <f ca="1">IFERROR(__xludf.DUMMYFUNCTION("""COMPUTED_VALUE"""),"Арсений")</f>
        <v>Арсений</v>
      </c>
      <c r="D112" t="str">
        <f ca="1">IFERROR(__xludf.DUMMYFUNCTION("""COMPUTED_VALUE"""),"Школа Квадривиум")</f>
        <v>Школа Квадривиум</v>
      </c>
      <c r="E112" s="5">
        <f ca="1">IFERROR(__xludf.DUMMYFUNCTION("""COMPUTED_VALUE"""),7)</f>
        <v>7</v>
      </c>
      <c r="F112" s="5">
        <f ca="1">IFERROR(__xludf.DUMMYFUNCTION("""COMPUTED_VALUE"""),7)</f>
        <v>7</v>
      </c>
      <c r="G112" s="5"/>
      <c r="H112" s="5"/>
      <c r="I112" s="5"/>
      <c r="J112" s="5"/>
      <c r="K112" s="5"/>
      <c r="L112" s="5"/>
      <c r="M112">
        <f ca="1">IFERROR(__xludf.DUMMYFUNCTION("""COMPUTED_VALUE"""),14)</f>
        <v>14</v>
      </c>
      <c r="N112" s="8" t="str">
        <f ca="1">IFERROR(__xludf.DUMMYFUNCTION("""COMPUTED_VALUE"""),"ПО2")</f>
        <v>ПО2</v>
      </c>
    </row>
    <row r="113" spans="1:14" ht="12.45" hidden="1">
      <c r="A113" t="str">
        <f ca="1">IFERROR(__xludf.DUMMYFUNCTION("""COMPUTED_VALUE"""),"III-4-019")</f>
        <v>III-4-019</v>
      </c>
      <c r="B113" t="str">
        <f ca="1">IFERROR(__xludf.DUMMYFUNCTION("""COMPUTED_VALUE"""),"Астраханцев")</f>
        <v>Астраханцев</v>
      </c>
      <c r="C113" t="str">
        <f ca="1">IFERROR(__xludf.DUMMYFUNCTION("""COMPUTED_VALUE"""),"Арсений")</f>
        <v>Арсений</v>
      </c>
      <c r="D113" t="str">
        <f ca="1">IFERROR(__xludf.DUMMYFUNCTION("""COMPUTED_VALUE"""),"Гимназия 33")</f>
        <v>Гимназия 33</v>
      </c>
      <c r="E113" s="5">
        <f ca="1">IFERROR(__xludf.DUMMYFUNCTION("""COMPUTED_VALUE"""),7)</f>
        <v>7</v>
      </c>
      <c r="F113" s="5">
        <f ca="1">IFERROR(__xludf.DUMMYFUNCTION("""COMPUTED_VALUE"""),7)</f>
        <v>7</v>
      </c>
      <c r="G113" s="5"/>
      <c r="H113" s="5"/>
      <c r="I113" s="5"/>
      <c r="J113" s="5"/>
      <c r="K113" s="5"/>
      <c r="L113" s="5"/>
      <c r="M113">
        <f ca="1">IFERROR(__xludf.DUMMYFUNCTION("""COMPUTED_VALUE"""),14)</f>
        <v>14</v>
      </c>
      <c r="N113" s="8" t="str">
        <f ca="1">IFERROR(__xludf.DUMMYFUNCTION("""COMPUTED_VALUE"""),"ПО2")</f>
        <v>ПО2</v>
      </c>
    </row>
    <row r="114" spans="1:14" ht="12.45" hidden="1">
      <c r="A114" t="str">
        <f ca="1">IFERROR(__xludf.DUMMYFUNCTION("""COMPUTED_VALUE"""),"III-4-049")</f>
        <v>III-4-049</v>
      </c>
      <c r="B114" t="str">
        <f ca="1">IFERROR(__xludf.DUMMYFUNCTION("""COMPUTED_VALUE"""),"Благодетелев")</f>
        <v>Благодетелев</v>
      </c>
      <c r="C114" t="str">
        <f ca="1">IFERROR(__xludf.DUMMYFUNCTION("""COMPUTED_VALUE"""),"Егор")</f>
        <v>Егор</v>
      </c>
      <c r="D114" t="str">
        <f ca="1">IFERROR(__xludf.DUMMYFUNCTION("""COMPUTED_VALUE"""),"Школа 292")</f>
        <v>Школа 292</v>
      </c>
      <c r="E114" s="5">
        <f ca="1">IFERROR(__xludf.DUMMYFUNCTION("""COMPUTED_VALUE"""),7)</f>
        <v>7</v>
      </c>
      <c r="F114" s="5">
        <f ca="1">IFERROR(__xludf.DUMMYFUNCTION("""COMPUTED_VALUE"""),3)</f>
        <v>3</v>
      </c>
      <c r="G114" s="5">
        <f ca="1">IFERROR(__xludf.DUMMYFUNCTION("""COMPUTED_VALUE"""),2)</f>
        <v>2</v>
      </c>
      <c r="H114" s="5"/>
      <c r="I114" s="5">
        <f ca="1">IFERROR(__xludf.DUMMYFUNCTION("""COMPUTED_VALUE"""),1)</f>
        <v>1</v>
      </c>
      <c r="J114" s="5">
        <f ca="1">IFERROR(__xludf.DUMMYFUNCTION("""COMPUTED_VALUE"""),1)</f>
        <v>1</v>
      </c>
      <c r="K114" s="5"/>
      <c r="L114" s="5"/>
      <c r="M114">
        <f ca="1">IFERROR(__xludf.DUMMYFUNCTION("""COMPUTED_VALUE"""),14)</f>
        <v>14</v>
      </c>
      <c r="N114" s="8" t="str">
        <f ca="1">IFERROR(__xludf.DUMMYFUNCTION("""COMPUTED_VALUE"""),"ПО2")</f>
        <v>ПО2</v>
      </c>
    </row>
    <row r="115" spans="1:14" ht="12.45" hidden="1">
      <c r="A115" t="str">
        <f ca="1">IFERROR(__xludf.DUMMYFUNCTION("""COMPUTED_VALUE"""),"III-4-067")</f>
        <v>III-4-067</v>
      </c>
      <c r="B115" t="str">
        <f ca="1">IFERROR(__xludf.DUMMYFUNCTION("""COMPUTED_VALUE"""),"Брагина")</f>
        <v>Брагина</v>
      </c>
      <c r="C115" t="str">
        <f ca="1">IFERROR(__xludf.DUMMYFUNCTION("""COMPUTED_VALUE"""),"Екатерина")</f>
        <v>Екатерина</v>
      </c>
      <c r="D115" t="str">
        <f ca="1">IFERROR(__xludf.DUMMYFUNCTION("""COMPUTED_VALUE"""),"Гимназия 261")</f>
        <v>Гимназия 261</v>
      </c>
      <c r="E115" s="5">
        <f ca="1">IFERROR(__xludf.DUMMYFUNCTION("""COMPUTED_VALUE"""),7)</f>
        <v>7</v>
      </c>
      <c r="F115" s="5">
        <f ca="1">IFERROR(__xludf.DUMMYFUNCTION("""COMPUTED_VALUE"""),3)</f>
        <v>3</v>
      </c>
      <c r="G115" s="5"/>
      <c r="H115" s="5"/>
      <c r="I115" s="5">
        <f ca="1">IFERROR(__xludf.DUMMYFUNCTION("""COMPUTED_VALUE"""),4)</f>
        <v>4</v>
      </c>
      <c r="J115" s="5"/>
      <c r="K115" s="5"/>
      <c r="L115" s="5"/>
      <c r="M115">
        <f ca="1">IFERROR(__xludf.DUMMYFUNCTION("""COMPUTED_VALUE"""),14)</f>
        <v>14</v>
      </c>
      <c r="N115" s="8" t="str">
        <f ca="1">IFERROR(__xludf.DUMMYFUNCTION("""COMPUTED_VALUE"""),"ПО2")</f>
        <v>ПО2</v>
      </c>
    </row>
    <row r="116" spans="1:14" ht="12.45" hidden="1">
      <c r="A116" t="str">
        <f ca="1">IFERROR(__xludf.DUMMYFUNCTION("""COMPUTED_VALUE"""),"III-4-069")</f>
        <v>III-4-069</v>
      </c>
      <c r="B116" t="str">
        <f ca="1">IFERROR(__xludf.DUMMYFUNCTION("""COMPUTED_VALUE"""),"Брусиловский")</f>
        <v>Брусиловский</v>
      </c>
      <c r="C116" t="str">
        <f ca="1">IFERROR(__xludf.DUMMYFUNCTION("""COMPUTED_VALUE"""),"Михаил")</f>
        <v>Михаил</v>
      </c>
      <c r="D116" t="str">
        <f ca="1">IFERROR(__xludf.DUMMYFUNCTION("""COMPUTED_VALUE"""),"Гимназия 642")</f>
        <v>Гимназия 642</v>
      </c>
      <c r="E116" s="5">
        <f ca="1">IFERROR(__xludf.DUMMYFUNCTION("""COMPUTED_VALUE"""),7)</f>
        <v>7</v>
      </c>
      <c r="F116" s="5"/>
      <c r="G116" s="5">
        <f ca="1">IFERROR(__xludf.DUMMYFUNCTION("""COMPUTED_VALUE"""),6)</f>
        <v>6</v>
      </c>
      <c r="H116" s="5"/>
      <c r="I116" s="5">
        <f ca="1">IFERROR(__xludf.DUMMYFUNCTION("""COMPUTED_VALUE"""),1)</f>
        <v>1</v>
      </c>
      <c r="J116" s="5"/>
      <c r="K116" s="5"/>
      <c r="L116" s="5"/>
      <c r="M116">
        <f ca="1">IFERROR(__xludf.DUMMYFUNCTION("""COMPUTED_VALUE"""),14)</f>
        <v>14</v>
      </c>
      <c r="N116" s="8" t="str">
        <f ca="1">IFERROR(__xludf.DUMMYFUNCTION("""COMPUTED_VALUE"""),"ПО2")</f>
        <v>ПО2</v>
      </c>
    </row>
    <row r="117" spans="1:14" ht="12.45" hidden="1">
      <c r="A117" t="str">
        <f ca="1">IFERROR(__xludf.DUMMYFUNCTION("""COMPUTED_VALUE"""),"III-4-070")</f>
        <v>III-4-070</v>
      </c>
      <c r="B117" t="str">
        <f ca="1">IFERROR(__xludf.DUMMYFUNCTION("""COMPUTED_VALUE"""),"Бруханский")</f>
        <v>Бруханский</v>
      </c>
      <c r="C117" t="str">
        <f ca="1">IFERROR(__xludf.DUMMYFUNCTION("""COMPUTED_VALUE"""),"Константин")</f>
        <v>Константин</v>
      </c>
      <c r="D117" t="str">
        <f ca="1">IFERROR(__xludf.DUMMYFUNCTION("""COMPUTED_VALUE"""),"Лицей 369")</f>
        <v>Лицей 369</v>
      </c>
      <c r="E117" s="5">
        <f ca="1">IFERROR(__xludf.DUMMYFUNCTION("""COMPUTED_VALUE"""),7)</f>
        <v>7</v>
      </c>
      <c r="F117" s="5">
        <f ca="1">IFERROR(__xludf.DUMMYFUNCTION("""COMPUTED_VALUE"""),6)</f>
        <v>6</v>
      </c>
      <c r="G117" s="5"/>
      <c r="H117" s="5"/>
      <c r="I117" s="5">
        <f ca="1">IFERROR(__xludf.DUMMYFUNCTION("""COMPUTED_VALUE"""),1)</f>
        <v>1</v>
      </c>
      <c r="J117" s="5"/>
      <c r="K117" s="5"/>
      <c r="L117" s="5"/>
      <c r="M117">
        <f ca="1">IFERROR(__xludf.DUMMYFUNCTION("""COMPUTED_VALUE"""),14)</f>
        <v>14</v>
      </c>
      <c r="N117" s="8" t="str">
        <f ca="1">IFERROR(__xludf.DUMMYFUNCTION("""COMPUTED_VALUE"""),"ПО2")</f>
        <v>ПО2</v>
      </c>
    </row>
    <row r="118" spans="1:14" ht="12.45" hidden="1">
      <c r="A118" t="str">
        <f ca="1">IFERROR(__xludf.DUMMYFUNCTION("""COMPUTED_VALUE"""),"III-4-080")</f>
        <v>III-4-080</v>
      </c>
      <c r="B118" t="str">
        <f ca="1">IFERROR(__xludf.DUMMYFUNCTION("""COMPUTED_VALUE"""),"Валиков")</f>
        <v>Валиков</v>
      </c>
      <c r="C118" t="str">
        <f ca="1">IFERROR(__xludf.DUMMYFUNCTION("""COMPUTED_VALUE"""),"Григорий")</f>
        <v>Григорий</v>
      </c>
      <c r="D118" t="str">
        <f ca="1">IFERROR(__xludf.DUMMYFUNCTION("""COMPUTED_VALUE"""),"Гимназия 631")</f>
        <v>Гимназия 631</v>
      </c>
      <c r="E118" s="5">
        <f ca="1">IFERROR(__xludf.DUMMYFUNCTION("""COMPUTED_VALUE"""),7)</f>
        <v>7</v>
      </c>
      <c r="F118" s="5">
        <f ca="1">IFERROR(__xludf.DUMMYFUNCTION("""COMPUTED_VALUE"""),3)</f>
        <v>3</v>
      </c>
      <c r="G118" s="5">
        <f ca="1">IFERROR(__xludf.DUMMYFUNCTION("""COMPUTED_VALUE"""),2)</f>
        <v>2</v>
      </c>
      <c r="H118" s="5"/>
      <c r="I118" s="5">
        <f ca="1">IFERROR(__xludf.DUMMYFUNCTION("""COMPUTED_VALUE"""),2)</f>
        <v>2</v>
      </c>
      <c r="J118" s="5"/>
      <c r="K118" s="5"/>
      <c r="L118" s="5"/>
      <c r="M118">
        <f ca="1">IFERROR(__xludf.DUMMYFUNCTION("""COMPUTED_VALUE"""),14)</f>
        <v>14</v>
      </c>
      <c r="N118" s="8" t="str">
        <f ca="1">IFERROR(__xludf.DUMMYFUNCTION("""COMPUTED_VALUE"""),"ПО2")</f>
        <v>ПО2</v>
      </c>
    </row>
    <row r="119" spans="1:14" ht="12.45" hidden="1">
      <c r="A119" t="str">
        <f ca="1">IFERROR(__xludf.DUMMYFUNCTION("""COMPUTED_VALUE"""),"III-4-155")</f>
        <v>III-4-155</v>
      </c>
      <c r="B119" t="str">
        <f ca="1">IFERROR(__xludf.DUMMYFUNCTION("""COMPUTED_VALUE"""),"Длин")</f>
        <v>Длин</v>
      </c>
      <c r="C119" t="str">
        <f ca="1">IFERROR(__xludf.DUMMYFUNCTION("""COMPUTED_VALUE"""),"Михаил")</f>
        <v>Михаил</v>
      </c>
      <c r="D119" t="str">
        <f ca="1">IFERROR(__xludf.DUMMYFUNCTION("""COMPUTED_VALUE"""),"Школа Квадривиум")</f>
        <v>Школа Квадривиум</v>
      </c>
      <c r="E119" s="5">
        <f ca="1">IFERROR(__xludf.DUMMYFUNCTION("""COMPUTED_VALUE"""),7)</f>
        <v>7</v>
      </c>
      <c r="F119" s="5">
        <f ca="1">IFERROR(__xludf.DUMMYFUNCTION("""COMPUTED_VALUE"""),3)</f>
        <v>3</v>
      </c>
      <c r="G119" s="5"/>
      <c r="H119" s="5"/>
      <c r="I119" s="5">
        <f ca="1">IFERROR(__xludf.DUMMYFUNCTION("""COMPUTED_VALUE"""),2)</f>
        <v>2</v>
      </c>
      <c r="J119" s="5"/>
      <c r="K119" s="5"/>
      <c r="L119" s="5">
        <f ca="1">IFERROR(__xludf.DUMMYFUNCTION("""COMPUTED_VALUE"""),2)</f>
        <v>2</v>
      </c>
      <c r="M119">
        <f ca="1">IFERROR(__xludf.DUMMYFUNCTION("""COMPUTED_VALUE"""),14)</f>
        <v>14</v>
      </c>
      <c r="N119" s="8" t="str">
        <f ca="1">IFERROR(__xludf.DUMMYFUNCTION("""COMPUTED_VALUE"""),"ПО2")</f>
        <v>ПО2</v>
      </c>
    </row>
    <row r="120" spans="1:14" ht="12.45" hidden="1">
      <c r="A120" t="str">
        <f ca="1">IFERROR(__xludf.DUMMYFUNCTION("""COMPUTED_VALUE"""),"III-4-229")</f>
        <v>III-4-229</v>
      </c>
      <c r="B120" t="str">
        <f ca="1">IFERROR(__xludf.DUMMYFUNCTION("""COMPUTED_VALUE"""),"Колежук")</f>
        <v>Колежук</v>
      </c>
      <c r="C120" t="str">
        <f ca="1">IFERROR(__xludf.DUMMYFUNCTION("""COMPUTED_VALUE"""),"Леонилла")</f>
        <v>Леонилла</v>
      </c>
      <c r="D120" t="str">
        <f ca="1">IFERROR(__xludf.DUMMYFUNCTION("""COMPUTED_VALUE"""),"Лицей 419")</f>
        <v>Лицей 419</v>
      </c>
      <c r="E120" s="5">
        <f ca="1">IFERROR(__xludf.DUMMYFUNCTION("""COMPUTED_VALUE"""),7)</f>
        <v>7</v>
      </c>
      <c r="F120" s="5"/>
      <c r="G120" s="5"/>
      <c r="H120" s="5"/>
      <c r="I120" s="5"/>
      <c r="J120" s="5"/>
      <c r="K120" s="5"/>
      <c r="L120" s="5">
        <f ca="1">IFERROR(__xludf.DUMMYFUNCTION("""COMPUTED_VALUE"""),7)</f>
        <v>7</v>
      </c>
      <c r="M120">
        <f ca="1">IFERROR(__xludf.DUMMYFUNCTION("""COMPUTED_VALUE"""),14)</f>
        <v>14</v>
      </c>
      <c r="N120" s="8" t="str">
        <f ca="1">IFERROR(__xludf.DUMMYFUNCTION("""COMPUTED_VALUE"""),"ПО2")</f>
        <v>ПО2</v>
      </c>
    </row>
    <row r="121" spans="1:14" ht="12.45" hidden="1">
      <c r="A121" t="str">
        <f ca="1">IFERROR(__xludf.DUMMYFUNCTION("""COMPUTED_VALUE"""),"III-4-252")</f>
        <v>III-4-252</v>
      </c>
      <c r="B121" t="str">
        <f ca="1">IFERROR(__xludf.DUMMYFUNCTION("""COMPUTED_VALUE"""),"Куракин")</f>
        <v>Куракин</v>
      </c>
      <c r="C121" t="str">
        <f ca="1">IFERROR(__xludf.DUMMYFUNCTION("""COMPUTED_VALUE"""),"Захар")</f>
        <v>Захар</v>
      </c>
      <c r="D121" t="str">
        <f ca="1">IFERROR(__xludf.DUMMYFUNCTION("""COMPUTED_VALUE"""),"Лицей 244")</f>
        <v>Лицей 244</v>
      </c>
      <c r="E121" s="5">
        <f ca="1">IFERROR(__xludf.DUMMYFUNCTION("""COMPUTED_VALUE"""),7)</f>
        <v>7</v>
      </c>
      <c r="F121" s="5"/>
      <c r="G121" s="5"/>
      <c r="H121" s="5"/>
      <c r="I121" s="5">
        <f ca="1">IFERROR(__xludf.DUMMYFUNCTION("""COMPUTED_VALUE"""),7)</f>
        <v>7</v>
      </c>
      <c r="J121" s="5"/>
      <c r="K121" s="5"/>
      <c r="L121" s="5"/>
      <c r="M121">
        <f ca="1">IFERROR(__xludf.DUMMYFUNCTION("""COMPUTED_VALUE"""),14)</f>
        <v>14</v>
      </c>
      <c r="N121" s="8" t="str">
        <f ca="1">IFERROR(__xludf.DUMMYFUNCTION("""COMPUTED_VALUE"""),"ПО2")</f>
        <v>ПО2</v>
      </c>
    </row>
    <row r="122" spans="1:14" ht="12.45" hidden="1">
      <c r="A122" t="str">
        <f ca="1">IFERROR(__xludf.DUMMYFUNCTION("""COMPUTED_VALUE"""),"III-4-256")</f>
        <v>III-4-256</v>
      </c>
      <c r="B122" t="str">
        <f ca="1">IFERROR(__xludf.DUMMYFUNCTION("""COMPUTED_VALUE"""),"Курилович")</f>
        <v>Курилович</v>
      </c>
      <c r="C122" t="str">
        <f ca="1">IFERROR(__xludf.DUMMYFUNCTION("""COMPUTED_VALUE"""),"Никита")</f>
        <v>Никита</v>
      </c>
      <c r="D122" t="str">
        <f ca="1">IFERROR(__xludf.DUMMYFUNCTION("""COMPUTED_VALUE"""),"Школа 89")</f>
        <v>Школа 89</v>
      </c>
      <c r="E122" s="5">
        <f ca="1">IFERROR(__xludf.DUMMYFUNCTION("""COMPUTED_VALUE"""),7)</f>
        <v>7</v>
      </c>
      <c r="F122" s="5">
        <f ca="1">IFERROR(__xludf.DUMMYFUNCTION("""COMPUTED_VALUE"""),3)</f>
        <v>3</v>
      </c>
      <c r="G122" s="5">
        <f ca="1">IFERROR(__xludf.DUMMYFUNCTION("""COMPUTED_VALUE"""),2)</f>
        <v>2</v>
      </c>
      <c r="H122" s="5"/>
      <c r="I122" s="5">
        <f ca="1">IFERROR(__xludf.DUMMYFUNCTION("""COMPUTED_VALUE"""),2)</f>
        <v>2</v>
      </c>
      <c r="J122" s="5"/>
      <c r="K122" s="5"/>
      <c r="L122" s="5"/>
      <c r="M122">
        <f ca="1">IFERROR(__xludf.DUMMYFUNCTION("""COMPUTED_VALUE"""),14)</f>
        <v>14</v>
      </c>
      <c r="N122" s="8" t="str">
        <f ca="1">IFERROR(__xludf.DUMMYFUNCTION("""COMPUTED_VALUE"""),"ПО2")</f>
        <v>ПО2</v>
      </c>
    </row>
    <row r="123" spans="1:14" ht="12.45" hidden="1">
      <c r="A123" t="str">
        <f ca="1">IFERROR(__xludf.DUMMYFUNCTION("""COMPUTED_VALUE"""),"III-4-262")</f>
        <v>III-4-262</v>
      </c>
      <c r="B123" t="str">
        <f ca="1">IFERROR(__xludf.DUMMYFUNCTION("""COMPUTED_VALUE"""),"Латута")</f>
        <v>Латута</v>
      </c>
      <c r="C123" t="str">
        <f ca="1">IFERROR(__xludf.DUMMYFUNCTION("""COMPUTED_VALUE"""),"Кристина")</f>
        <v>Кристина</v>
      </c>
      <c r="D123" t="str">
        <f ca="1">IFERROR(__xludf.DUMMYFUNCTION("""COMPUTED_VALUE"""),"Гимназия 73")</f>
        <v>Гимназия 73</v>
      </c>
      <c r="E123" s="5">
        <f ca="1">IFERROR(__xludf.DUMMYFUNCTION("""COMPUTED_VALUE"""),7)</f>
        <v>7</v>
      </c>
      <c r="F123" s="5">
        <f ca="1">IFERROR(__xludf.DUMMYFUNCTION("""COMPUTED_VALUE"""),3)</f>
        <v>3</v>
      </c>
      <c r="G123" s="5">
        <f ca="1">IFERROR(__xludf.DUMMYFUNCTION("""COMPUTED_VALUE"""),1)</f>
        <v>1</v>
      </c>
      <c r="H123" s="5"/>
      <c r="I123" s="5">
        <f ca="1">IFERROR(__xludf.DUMMYFUNCTION("""COMPUTED_VALUE"""),2)</f>
        <v>2</v>
      </c>
      <c r="J123" s="5">
        <f ca="1">IFERROR(__xludf.DUMMYFUNCTION("""COMPUTED_VALUE"""),1)</f>
        <v>1</v>
      </c>
      <c r="K123" s="5"/>
      <c r="L123" s="5"/>
      <c r="M123">
        <f ca="1">IFERROR(__xludf.DUMMYFUNCTION("""COMPUTED_VALUE"""),14)</f>
        <v>14</v>
      </c>
      <c r="N123" s="8" t="str">
        <f ca="1">IFERROR(__xludf.DUMMYFUNCTION("""COMPUTED_VALUE"""),"ПО2")</f>
        <v>ПО2</v>
      </c>
    </row>
    <row r="124" spans="1:14" ht="12.45" hidden="1">
      <c r="A124" t="str">
        <f ca="1">IFERROR(__xludf.DUMMYFUNCTION("""COMPUTED_VALUE"""),"V-4-269")</f>
        <v>V-4-269</v>
      </c>
      <c r="B124" t="str">
        <f ca="1">IFERROR(__xludf.DUMMYFUNCTION("""COMPUTED_VALUE"""),"Лепихин")</f>
        <v>Лепихин</v>
      </c>
      <c r="C124" t="str">
        <f ca="1">IFERROR(__xludf.DUMMYFUNCTION("""COMPUTED_VALUE"""),"Кирилл")</f>
        <v>Кирилл</v>
      </c>
      <c r="D124" t="str">
        <f ca="1">IFERROR(__xludf.DUMMYFUNCTION("""COMPUTED_VALUE"""),"Лицей 29")</f>
        <v>Лицей 29</v>
      </c>
      <c r="E124" s="5">
        <f ca="1">IFERROR(__xludf.DUMMYFUNCTION("""COMPUTED_VALUE"""),2)</f>
        <v>2</v>
      </c>
      <c r="F124" s="5">
        <f ca="1">IFERROR(__xludf.DUMMYFUNCTION("""COMPUTED_VALUE"""),3)</f>
        <v>3</v>
      </c>
      <c r="G124" s="5">
        <f ca="1">IFERROR(__xludf.DUMMYFUNCTION("""COMPUTED_VALUE"""),2)</f>
        <v>2</v>
      </c>
      <c r="H124" s="5"/>
      <c r="I124" s="5">
        <f ca="1">IFERROR(__xludf.DUMMYFUNCTION("""COMPUTED_VALUE"""),7)</f>
        <v>7</v>
      </c>
      <c r="J124" s="5"/>
      <c r="K124" s="5"/>
      <c r="L124" s="5"/>
      <c r="M124">
        <f ca="1">IFERROR(__xludf.DUMMYFUNCTION("""COMPUTED_VALUE"""),14)</f>
        <v>14</v>
      </c>
      <c r="N124" s="8" t="str">
        <f ca="1">IFERROR(__xludf.DUMMYFUNCTION("""COMPUTED_VALUE"""),"ПО2")</f>
        <v>ПО2</v>
      </c>
    </row>
    <row r="125" spans="1:14" ht="12.45" hidden="1">
      <c r="A125" t="str">
        <f ca="1">IFERROR(__xludf.DUMMYFUNCTION("""COMPUTED_VALUE"""),"V-4-279")</f>
        <v>V-4-279</v>
      </c>
      <c r="B125" t="str">
        <f ca="1">IFERROR(__xludf.DUMMYFUNCTION("""COMPUTED_VALUE"""),"Максимов")</f>
        <v>Максимов</v>
      </c>
      <c r="C125" t="str">
        <f ca="1">IFERROR(__xludf.DUMMYFUNCTION("""COMPUTED_VALUE"""),"Александр")</f>
        <v>Александр</v>
      </c>
      <c r="D125" t="str">
        <f ca="1">IFERROR(__xludf.DUMMYFUNCTION("""COMPUTED_VALUE"""),"Лицей 366")</f>
        <v>Лицей 366</v>
      </c>
      <c r="E125" s="5">
        <f ca="1">IFERROR(__xludf.DUMMYFUNCTION("""COMPUTED_VALUE"""),2)</f>
        <v>2</v>
      </c>
      <c r="F125" s="5">
        <f ca="1">IFERROR(__xludf.DUMMYFUNCTION("""COMPUTED_VALUE"""),7)</f>
        <v>7</v>
      </c>
      <c r="G125" s="5">
        <f ca="1">IFERROR(__xludf.DUMMYFUNCTION("""COMPUTED_VALUE"""),1)</f>
        <v>1</v>
      </c>
      <c r="H125" s="5"/>
      <c r="I125" s="5">
        <f ca="1">IFERROR(__xludf.DUMMYFUNCTION("""COMPUTED_VALUE"""),2)</f>
        <v>2</v>
      </c>
      <c r="J125" s="5">
        <f ca="1">IFERROR(__xludf.DUMMYFUNCTION("""COMPUTED_VALUE"""),2)</f>
        <v>2</v>
      </c>
      <c r="K125" s="5"/>
      <c r="L125" s="5"/>
      <c r="M125">
        <f ca="1">IFERROR(__xludf.DUMMYFUNCTION("""COMPUTED_VALUE"""),14)</f>
        <v>14</v>
      </c>
      <c r="N125" s="8" t="str">
        <f ca="1">IFERROR(__xludf.DUMMYFUNCTION("""COMPUTED_VALUE"""),"ПО2")</f>
        <v>ПО2</v>
      </c>
    </row>
    <row r="126" spans="1:14" ht="12.45">
      <c r="A126" t="str">
        <f ca="1">IFERROR(__xludf.DUMMYFUNCTION("""COMPUTED_VALUE"""),"V-4-336")</f>
        <v>V-4-336</v>
      </c>
      <c r="B126" t="str">
        <f ca="1">IFERROR(__xludf.DUMMYFUNCTION("""COMPUTED_VALUE"""),"Орлова")</f>
        <v>Орлова</v>
      </c>
      <c r="C126" t="str">
        <f ca="1">IFERROR(__xludf.DUMMYFUNCTION("""COMPUTED_VALUE"""),"Елизавета")</f>
        <v>Елизавета</v>
      </c>
      <c r="D126" t="str">
        <f ca="1">IFERROR(__xludf.DUMMYFUNCTION("""COMPUTED_VALUE"""),"Гимназия МАОУ Лингвистическая гимназия 3")</f>
        <v>Гимназия МАОУ Лингвистическая гимназия 3</v>
      </c>
      <c r="E126" s="5">
        <f ca="1">IFERROR(__xludf.DUMMYFUNCTION("""COMPUTED_VALUE"""),2)</f>
        <v>2</v>
      </c>
      <c r="F126" s="5">
        <f ca="1">IFERROR(__xludf.DUMMYFUNCTION("""COMPUTED_VALUE"""),7)</f>
        <v>7</v>
      </c>
      <c r="G126" s="5">
        <f ca="1">IFERROR(__xludf.DUMMYFUNCTION("""COMPUTED_VALUE"""),2)</f>
        <v>2</v>
      </c>
      <c r="H126" s="5"/>
      <c r="I126" s="5">
        <f ca="1">IFERROR(__xludf.DUMMYFUNCTION("""COMPUTED_VALUE"""),1)</f>
        <v>1</v>
      </c>
      <c r="J126" s="5"/>
      <c r="K126" s="5"/>
      <c r="L126" s="5">
        <f ca="1">IFERROR(__xludf.DUMMYFUNCTION("""COMPUTED_VALUE"""),2)</f>
        <v>2</v>
      </c>
      <c r="M126">
        <f ca="1">IFERROR(__xludf.DUMMYFUNCTION("""COMPUTED_VALUE"""),14)</f>
        <v>14</v>
      </c>
      <c r="N126" s="8" t="str">
        <f ca="1">IFERROR(__xludf.DUMMYFUNCTION("""COMPUTED_VALUE"""),"ПО2")</f>
        <v>ПО2</v>
      </c>
    </row>
    <row r="127" spans="1:14" ht="12.45" hidden="1">
      <c r="A127" t="str">
        <f ca="1">IFERROR(__xludf.DUMMYFUNCTION("""COMPUTED_VALUE"""),"V-4-438")</f>
        <v>V-4-438</v>
      </c>
      <c r="B127" t="str">
        <f ca="1">IFERROR(__xludf.DUMMYFUNCTION("""COMPUTED_VALUE"""),"Староверов")</f>
        <v>Староверов</v>
      </c>
      <c r="C127" t="str">
        <f ca="1">IFERROR(__xludf.DUMMYFUNCTION("""COMPUTED_VALUE"""),"Арсений")</f>
        <v>Арсений</v>
      </c>
      <c r="D127" t="str">
        <f ca="1">IFERROR(__xludf.DUMMYFUNCTION("""COMPUTED_VALUE"""),"Гимназия 157")</f>
        <v>Гимназия 157</v>
      </c>
      <c r="E127" s="5">
        <f ca="1">IFERROR(__xludf.DUMMYFUNCTION("""COMPUTED_VALUE"""),7)</f>
        <v>7</v>
      </c>
      <c r="F127" s="5">
        <f ca="1">IFERROR(__xludf.DUMMYFUNCTION("""COMPUTED_VALUE"""),4)</f>
        <v>4</v>
      </c>
      <c r="G127" s="5"/>
      <c r="H127" s="5"/>
      <c r="I127" s="5">
        <f ca="1">IFERROR(__xludf.DUMMYFUNCTION("""COMPUTED_VALUE"""),3)</f>
        <v>3</v>
      </c>
      <c r="J127" s="5"/>
      <c r="K127" s="5"/>
      <c r="L127" s="5"/>
      <c r="M127">
        <f ca="1">IFERROR(__xludf.DUMMYFUNCTION("""COMPUTED_VALUE"""),14)</f>
        <v>14</v>
      </c>
      <c r="N127" s="8" t="str">
        <f ca="1">IFERROR(__xludf.DUMMYFUNCTION("""COMPUTED_VALUE"""),"ПО2")</f>
        <v>ПО2</v>
      </c>
    </row>
    <row r="128" spans="1:14" ht="12.45" hidden="1">
      <c r="A128" t="str">
        <f ca="1">IFERROR(__xludf.DUMMYFUNCTION("""COMPUTED_VALUE"""),"V-4-454")</f>
        <v>V-4-454</v>
      </c>
      <c r="B128" t="str">
        <f ca="1">IFERROR(__xludf.DUMMYFUNCTION("""COMPUTED_VALUE"""),"Тамарина")</f>
        <v>Тамарина</v>
      </c>
      <c r="C128" t="str">
        <f ca="1">IFERROR(__xludf.DUMMYFUNCTION("""COMPUTED_VALUE"""),"Аксинья")</f>
        <v>Аксинья</v>
      </c>
      <c r="D128" t="str">
        <f ca="1">IFERROR(__xludf.DUMMYFUNCTION("""COMPUTED_VALUE"""),"Лицей 150")</f>
        <v>Лицей 150</v>
      </c>
      <c r="E128" s="5">
        <f ca="1">IFERROR(__xludf.DUMMYFUNCTION("""COMPUTED_VALUE"""),2)</f>
        <v>2</v>
      </c>
      <c r="F128" s="5"/>
      <c r="G128" s="5"/>
      <c r="H128" s="5">
        <f ca="1">IFERROR(__xludf.DUMMYFUNCTION("""COMPUTED_VALUE"""),7)</f>
        <v>7</v>
      </c>
      <c r="I128" s="5">
        <f ca="1">IFERROR(__xludf.DUMMYFUNCTION("""COMPUTED_VALUE"""),5)</f>
        <v>5</v>
      </c>
      <c r="J128" s="5"/>
      <c r="K128" s="5"/>
      <c r="L128" s="5"/>
      <c r="M128">
        <f ca="1">IFERROR(__xludf.DUMMYFUNCTION("""COMPUTED_VALUE"""),14)</f>
        <v>14</v>
      </c>
      <c r="N128" s="8" t="str">
        <f ca="1">IFERROR(__xludf.DUMMYFUNCTION("""COMPUTED_VALUE"""),"ПО2")</f>
        <v>ПО2</v>
      </c>
    </row>
    <row r="129" spans="1:14" ht="12.45" hidden="1">
      <c r="A129" t="str">
        <f ca="1">IFERROR(__xludf.DUMMYFUNCTION("""COMPUTED_VALUE"""),"III-4-010")</f>
        <v>III-4-010</v>
      </c>
      <c r="B129" t="str">
        <f ca="1">IFERROR(__xludf.DUMMYFUNCTION("""COMPUTED_VALUE"""),"Алексеева")</f>
        <v>Алексеева</v>
      </c>
      <c r="C129" t="str">
        <f ca="1">IFERROR(__xludf.DUMMYFUNCTION("""COMPUTED_VALUE"""),"Юлия")</f>
        <v>Юлия</v>
      </c>
      <c r="D129" t="str">
        <f ca="1">IFERROR(__xludf.DUMMYFUNCTION("""COMPUTED_VALUE"""),"Гимназия 107")</f>
        <v>Гимназия 107</v>
      </c>
      <c r="E129" s="5">
        <f ca="1">IFERROR(__xludf.DUMMYFUNCTION("""COMPUTED_VALUE"""),7)</f>
        <v>7</v>
      </c>
      <c r="F129" s="5">
        <f ca="1">IFERROR(__xludf.DUMMYFUNCTION("""COMPUTED_VALUE"""),3)</f>
        <v>3</v>
      </c>
      <c r="G129" s="5">
        <f ca="1">IFERROR(__xludf.DUMMYFUNCTION("""COMPUTED_VALUE"""),1)</f>
        <v>1</v>
      </c>
      <c r="H129" s="5"/>
      <c r="I129" s="5">
        <f ca="1">IFERROR(__xludf.DUMMYFUNCTION("""COMPUTED_VALUE"""),1)</f>
        <v>1</v>
      </c>
      <c r="J129" s="5">
        <f ca="1">IFERROR(__xludf.DUMMYFUNCTION("""COMPUTED_VALUE"""),1)</f>
        <v>1</v>
      </c>
      <c r="K129" s="5"/>
      <c r="L129" s="5"/>
      <c r="M129">
        <f ca="1">IFERROR(__xludf.DUMMYFUNCTION("""COMPUTED_VALUE"""),13)</f>
        <v>13</v>
      </c>
      <c r="N129" s="8" t="str">
        <f ca="1">IFERROR(__xludf.DUMMYFUNCTION("""COMPUTED_VALUE"""),"ПО2")</f>
        <v>ПО2</v>
      </c>
    </row>
    <row r="130" spans="1:14" ht="12.45" hidden="1">
      <c r="A130" t="str">
        <f ca="1">IFERROR(__xludf.DUMMYFUNCTION("""COMPUTED_VALUE"""),"III-4-112")</f>
        <v>III-4-112</v>
      </c>
      <c r="B130" t="str">
        <f ca="1">IFERROR(__xludf.DUMMYFUNCTION("""COMPUTED_VALUE"""),"Гадеева")</f>
        <v>Гадеева</v>
      </c>
      <c r="C130" t="str">
        <f ca="1">IFERROR(__xludf.DUMMYFUNCTION("""COMPUTED_VALUE"""),"Динара")</f>
        <v>Динара</v>
      </c>
      <c r="D130" t="str">
        <f ca="1">IFERROR(__xludf.DUMMYFUNCTION("""COMPUTED_VALUE"""),"Лицей 3")</f>
        <v>Лицей 3</v>
      </c>
      <c r="E130" s="5">
        <f ca="1">IFERROR(__xludf.DUMMYFUNCTION("""COMPUTED_VALUE"""),7)</f>
        <v>7</v>
      </c>
      <c r="F130" s="5">
        <f ca="1">IFERROR(__xludf.DUMMYFUNCTION("""COMPUTED_VALUE"""),3)</f>
        <v>3</v>
      </c>
      <c r="G130" s="5"/>
      <c r="H130" s="5"/>
      <c r="I130" s="5">
        <f ca="1">IFERROR(__xludf.DUMMYFUNCTION("""COMPUTED_VALUE"""),3)</f>
        <v>3</v>
      </c>
      <c r="J130" s="5"/>
      <c r="K130" s="5"/>
      <c r="L130" s="5"/>
      <c r="M130">
        <f ca="1">IFERROR(__xludf.DUMMYFUNCTION("""COMPUTED_VALUE"""),13)</f>
        <v>13</v>
      </c>
      <c r="N130" s="8" t="str">
        <f ca="1">IFERROR(__xludf.DUMMYFUNCTION("""COMPUTED_VALUE"""),"ПО2")</f>
        <v>ПО2</v>
      </c>
    </row>
    <row r="131" spans="1:14" ht="12.45" hidden="1">
      <c r="A131" t="str">
        <f ca="1">IFERROR(__xludf.DUMMYFUNCTION("""COMPUTED_VALUE"""),"III-4-157")</f>
        <v>III-4-157</v>
      </c>
      <c r="B131" t="str">
        <f ca="1">IFERROR(__xludf.DUMMYFUNCTION("""COMPUTED_VALUE"""),"Доржиева")</f>
        <v>Доржиева</v>
      </c>
      <c r="C131" t="str">
        <f ca="1">IFERROR(__xludf.DUMMYFUNCTION("""COMPUTED_VALUE"""),"Екатерина")</f>
        <v>Екатерина</v>
      </c>
      <c r="D131" t="str">
        <f ca="1">IFERROR(__xludf.DUMMYFUNCTION("""COMPUTED_VALUE"""),"Школа 593")</f>
        <v>Школа 593</v>
      </c>
      <c r="E131" s="5">
        <f ca="1">IFERROR(__xludf.DUMMYFUNCTION("""COMPUTED_VALUE"""),7)</f>
        <v>7</v>
      </c>
      <c r="F131" s="5">
        <f ca="1">IFERROR(__xludf.DUMMYFUNCTION("""COMPUTED_VALUE"""),3)</f>
        <v>3</v>
      </c>
      <c r="G131" s="5"/>
      <c r="H131" s="5"/>
      <c r="I131" s="5">
        <f ca="1">IFERROR(__xludf.DUMMYFUNCTION("""COMPUTED_VALUE"""),2)</f>
        <v>2</v>
      </c>
      <c r="J131" s="5"/>
      <c r="K131" s="5">
        <f ca="1">IFERROR(__xludf.DUMMYFUNCTION("""COMPUTED_VALUE"""),1)</f>
        <v>1</v>
      </c>
      <c r="L131" s="5"/>
      <c r="M131">
        <f ca="1">IFERROR(__xludf.DUMMYFUNCTION("""COMPUTED_VALUE"""),13)</f>
        <v>13</v>
      </c>
      <c r="N131" s="8" t="str">
        <f ca="1">IFERROR(__xludf.DUMMYFUNCTION("""COMPUTED_VALUE"""),"ПО2")</f>
        <v>ПО2</v>
      </c>
    </row>
    <row r="132" spans="1:14" ht="12.45" hidden="1">
      <c r="A132" t="str">
        <f ca="1">IFERROR(__xludf.DUMMYFUNCTION("""COMPUTED_VALUE"""),"III-4-185")</f>
        <v>III-4-185</v>
      </c>
      <c r="B132" t="str">
        <f ca="1">IFERROR(__xludf.DUMMYFUNCTION("""COMPUTED_VALUE"""),"Зелепукина")</f>
        <v>Зелепукина</v>
      </c>
      <c r="C132" t="str">
        <f ca="1">IFERROR(__xludf.DUMMYFUNCTION("""COMPUTED_VALUE"""),"Яна")</f>
        <v>Яна</v>
      </c>
      <c r="D132" t="str">
        <f ca="1">IFERROR(__xludf.DUMMYFUNCTION("""COMPUTED_VALUE"""),"Школа 448")</f>
        <v>Школа 448</v>
      </c>
      <c r="E132" s="5">
        <f ca="1">IFERROR(__xludf.DUMMYFUNCTION("""COMPUTED_VALUE"""),7)</f>
        <v>7</v>
      </c>
      <c r="F132" s="5"/>
      <c r="G132" s="5"/>
      <c r="H132" s="5"/>
      <c r="I132" s="5">
        <f ca="1">IFERROR(__xludf.DUMMYFUNCTION("""COMPUTED_VALUE"""),6)</f>
        <v>6</v>
      </c>
      <c r="J132" s="5"/>
      <c r="K132" s="5"/>
      <c r="L132" s="5"/>
      <c r="M132">
        <f ca="1">IFERROR(__xludf.DUMMYFUNCTION("""COMPUTED_VALUE"""),13)</f>
        <v>13</v>
      </c>
      <c r="N132" s="8" t="str">
        <f ca="1">IFERROR(__xludf.DUMMYFUNCTION("""COMPUTED_VALUE"""),"ПО2")</f>
        <v>ПО2</v>
      </c>
    </row>
    <row r="133" spans="1:14" ht="12.45" hidden="1">
      <c r="A133" t="str">
        <f ca="1">IFERROR(__xludf.DUMMYFUNCTION("""COMPUTED_VALUE"""),"III-4-190")</f>
        <v>III-4-190</v>
      </c>
      <c r="B133" t="str">
        <f ca="1">IFERROR(__xludf.DUMMYFUNCTION("""COMPUTED_VALUE"""),"Зубарев")</f>
        <v>Зубарев</v>
      </c>
      <c r="C133" t="str">
        <f ca="1">IFERROR(__xludf.DUMMYFUNCTION("""COMPUTED_VALUE"""),"Александр")</f>
        <v>Александр</v>
      </c>
      <c r="D133" t="str">
        <f ca="1">IFERROR(__xludf.DUMMYFUNCTION("""COMPUTED_VALUE"""),"Школа 138")</f>
        <v>Школа 138</v>
      </c>
      <c r="E133" s="5"/>
      <c r="F133" s="5">
        <f ca="1">IFERROR(__xludf.DUMMYFUNCTION("""COMPUTED_VALUE"""),7)</f>
        <v>7</v>
      </c>
      <c r="G133" s="5">
        <f ca="1">IFERROR(__xludf.DUMMYFUNCTION("""COMPUTED_VALUE"""),5)</f>
        <v>5</v>
      </c>
      <c r="H133" s="5"/>
      <c r="I133" s="5">
        <f ca="1">IFERROR(__xludf.DUMMYFUNCTION("""COMPUTED_VALUE"""),1)</f>
        <v>1</v>
      </c>
      <c r="J133" s="5"/>
      <c r="K133" s="5"/>
      <c r="L133" s="5"/>
      <c r="M133">
        <f ca="1">IFERROR(__xludf.DUMMYFUNCTION("""COMPUTED_VALUE"""),13)</f>
        <v>13</v>
      </c>
      <c r="N133" s="8" t="str">
        <f ca="1">IFERROR(__xludf.DUMMYFUNCTION("""COMPUTED_VALUE"""),"ПО2")</f>
        <v>ПО2</v>
      </c>
    </row>
    <row r="134" spans="1:14" ht="12.45" hidden="1">
      <c r="A134" t="str">
        <f ca="1">IFERROR(__xludf.DUMMYFUNCTION("""COMPUTED_VALUE"""),"III-4-203")</f>
        <v>III-4-203</v>
      </c>
      <c r="B134" t="str">
        <f ca="1">IFERROR(__xludf.DUMMYFUNCTION("""COMPUTED_VALUE"""),"Кабрин")</f>
        <v>Кабрин</v>
      </c>
      <c r="C134" t="str">
        <f ca="1">IFERROR(__xludf.DUMMYFUNCTION("""COMPUTED_VALUE"""),"Виталий")</f>
        <v>Виталий</v>
      </c>
      <c r="D134" t="str">
        <f ca="1">IFERROR(__xludf.DUMMYFUNCTION("""COMPUTED_VALUE"""),"Школа им ак. И.П. Павлова")</f>
        <v>Школа им ак. И.П. Павлова</v>
      </c>
      <c r="E134" s="5">
        <f ca="1">IFERROR(__xludf.DUMMYFUNCTION("""COMPUTED_VALUE"""),7)</f>
        <v>7</v>
      </c>
      <c r="F134" s="5">
        <f ca="1">IFERROR(__xludf.DUMMYFUNCTION("""COMPUTED_VALUE"""),3)</f>
        <v>3</v>
      </c>
      <c r="G134" s="5">
        <f ca="1">IFERROR(__xludf.DUMMYFUNCTION("""COMPUTED_VALUE"""),2)</f>
        <v>2</v>
      </c>
      <c r="H134" s="5"/>
      <c r="I134" s="5"/>
      <c r="J134" s="5">
        <f ca="1">IFERROR(__xludf.DUMMYFUNCTION("""COMPUTED_VALUE"""),1)</f>
        <v>1</v>
      </c>
      <c r="K134" s="5"/>
      <c r="L134" s="5"/>
      <c r="M134">
        <f ca="1">IFERROR(__xludf.DUMMYFUNCTION("""COMPUTED_VALUE"""),13)</f>
        <v>13</v>
      </c>
      <c r="N134" s="8" t="str">
        <f ca="1">IFERROR(__xludf.DUMMYFUNCTION("""COMPUTED_VALUE"""),"ПО2")</f>
        <v>ПО2</v>
      </c>
    </row>
    <row r="135" spans="1:14" ht="12.45" hidden="1">
      <c r="A135" t="str">
        <f ca="1">IFERROR(__xludf.DUMMYFUNCTION("""COMPUTED_VALUE"""),"III-4-206")</f>
        <v>III-4-206</v>
      </c>
      <c r="B135" t="str">
        <f ca="1">IFERROR(__xludf.DUMMYFUNCTION("""COMPUTED_VALUE"""),"Каиров")</f>
        <v>Каиров</v>
      </c>
      <c r="C135" t="str">
        <f ca="1">IFERROR(__xludf.DUMMYFUNCTION("""COMPUTED_VALUE"""),"Роман")</f>
        <v>Роман</v>
      </c>
      <c r="D135" t="str">
        <f ca="1">IFERROR(__xludf.DUMMYFUNCTION("""COMPUTED_VALUE"""),"Школа 10")</f>
        <v>Школа 10</v>
      </c>
      <c r="E135" s="5">
        <f ca="1">IFERROR(__xludf.DUMMYFUNCTION("""COMPUTED_VALUE"""),7)</f>
        <v>7</v>
      </c>
      <c r="F135" s="5">
        <f ca="1">IFERROR(__xludf.DUMMYFUNCTION("""COMPUTED_VALUE"""),5)</f>
        <v>5</v>
      </c>
      <c r="G135" s="5">
        <f ca="1">IFERROR(__xludf.DUMMYFUNCTION("""COMPUTED_VALUE"""),1)</f>
        <v>1</v>
      </c>
      <c r="H135" s="5"/>
      <c r="I135" s="5"/>
      <c r="J135" s="5"/>
      <c r="K135" s="5"/>
      <c r="L135" s="5"/>
      <c r="M135">
        <f ca="1">IFERROR(__xludf.DUMMYFUNCTION("""COMPUTED_VALUE"""),13)</f>
        <v>13</v>
      </c>
      <c r="N135" s="8" t="str">
        <f ca="1">IFERROR(__xludf.DUMMYFUNCTION("""COMPUTED_VALUE"""),"ПО2")</f>
        <v>ПО2</v>
      </c>
    </row>
    <row r="136" spans="1:14" ht="12.45" hidden="1">
      <c r="A136" t="str">
        <f ca="1">IFERROR(__xludf.DUMMYFUNCTION("""COMPUTED_VALUE"""),"III-4-212")</f>
        <v>III-4-212</v>
      </c>
      <c r="B136" t="str">
        <f ca="1">IFERROR(__xludf.DUMMYFUNCTION("""COMPUTED_VALUE"""),"Капустяник")</f>
        <v>Капустяник</v>
      </c>
      <c r="C136" t="str">
        <f ca="1">IFERROR(__xludf.DUMMYFUNCTION("""COMPUTED_VALUE"""),"Андрей")</f>
        <v>Андрей</v>
      </c>
      <c r="D136" t="str">
        <f ca="1">IFERROR(__xludf.DUMMYFUNCTION("""COMPUTED_VALUE"""),"Школа 376")</f>
        <v>Школа 376</v>
      </c>
      <c r="E136" s="5"/>
      <c r="F136" s="5">
        <f ca="1">IFERROR(__xludf.DUMMYFUNCTION("""COMPUTED_VALUE"""),3)</f>
        <v>3</v>
      </c>
      <c r="G136" s="5"/>
      <c r="H136" s="5"/>
      <c r="I136" s="5">
        <f ca="1">IFERROR(__xludf.DUMMYFUNCTION("""COMPUTED_VALUE"""),3)</f>
        <v>3</v>
      </c>
      <c r="J136" s="5">
        <f ca="1">IFERROR(__xludf.DUMMYFUNCTION("""COMPUTED_VALUE"""),7)</f>
        <v>7</v>
      </c>
      <c r="K136" s="5"/>
      <c r="L136" s="5"/>
      <c r="M136">
        <f ca="1">IFERROR(__xludf.DUMMYFUNCTION("""COMPUTED_VALUE"""),13)</f>
        <v>13</v>
      </c>
      <c r="N136" s="8" t="str">
        <f ca="1">IFERROR(__xludf.DUMMYFUNCTION("""COMPUTED_VALUE"""),"ПО2")</f>
        <v>ПО2</v>
      </c>
    </row>
    <row r="137" spans="1:14" ht="12.45" hidden="1">
      <c r="A137" t="str">
        <f ca="1">IFERROR(__xludf.DUMMYFUNCTION("""COMPUTED_VALUE"""),"III-4-233")</f>
        <v>III-4-233</v>
      </c>
      <c r="B137" t="str">
        <f ca="1">IFERROR(__xludf.DUMMYFUNCTION("""COMPUTED_VALUE"""),"Копецкая")</f>
        <v>Копецкая</v>
      </c>
      <c r="C137" t="str">
        <f ca="1">IFERROR(__xludf.DUMMYFUNCTION("""COMPUTED_VALUE"""),"Дарья")</f>
        <v>Дарья</v>
      </c>
      <c r="D137" t="str">
        <f ca="1">IFERROR(__xludf.DUMMYFUNCTION("""COMPUTED_VALUE"""),"Гимназия 652")</f>
        <v>Гимназия 652</v>
      </c>
      <c r="E137" s="5">
        <f ca="1">IFERROR(__xludf.DUMMYFUNCTION("""COMPUTED_VALUE"""),7)</f>
        <v>7</v>
      </c>
      <c r="F137" s="5">
        <f ca="1">IFERROR(__xludf.DUMMYFUNCTION("""COMPUTED_VALUE"""),3)</f>
        <v>3</v>
      </c>
      <c r="G137" s="5"/>
      <c r="H137" s="5"/>
      <c r="I137" s="5">
        <f ca="1">IFERROR(__xludf.DUMMYFUNCTION("""COMPUTED_VALUE"""),3)</f>
        <v>3</v>
      </c>
      <c r="J137" s="5"/>
      <c r="K137" s="5"/>
      <c r="L137" s="5"/>
      <c r="M137">
        <f ca="1">IFERROR(__xludf.DUMMYFUNCTION("""COMPUTED_VALUE"""),13)</f>
        <v>13</v>
      </c>
      <c r="N137" s="8" t="str">
        <f ca="1">IFERROR(__xludf.DUMMYFUNCTION("""COMPUTED_VALUE"""),"ПО2")</f>
        <v>ПО2</v>
      </c>
    </row>
    <row r="138" spans="1:14" ht="12.45" hidden="1">
      <c r="A138" t="str">
        <f ca="1">IFERROR(__xludf.DUMMYFUNCTION("""COMPUTED_VALUE"""),"III-4-264")</f>
        <v>III-4-264</v>
      </c>
      <c r="B138" t="str">
        <f ca="1">IFERROR(__xludf.DUMMYFUNCTION("""COMPUTED_VALUE"""),"Лебедев")</f>
        <v>Лебедев</v>
      </c>
      <c r="C138" t="str">
        <f ca="1">IFERROR(__xludf.DUMMYFUNCTION("""COMPUTED_VALUE"""),"Алексей")</f>
        <v>Алексей</v>
      </c>
      <c r="D138" t="str">
        <f ca="1">IFERROR(__xludf.DUMMYFUNCTION("""COMPUTED_VALUE"""),"Школа Агалатовский ЦО")</f>
        <v>Школа Агалатовский ЦО</v>
      </c>
      <c r="E138" s="5">
        <f ca="1">IFERROR(__xludf.DUMMYFUNCTION("""COMPUTED_VALUE"""),7)</f>
        <v>7</v>
      </c>
      <c r="F138" s="5">
        <f ca="1">IFERROR(__xludf.DUMMYFUNCTION("""COMPUTED_VALUE"""),3)</f>
        <v>3</v>
      </c>
      <c r="G138" s="5"/>
      <c r="H138" s="5"/>
      <c r="I138" s="5">
        <f ca="1">IFERROR(__xludf.DUMMYFUNCTION("""COMPUTED_VALUE"""),2)</f>
        <v>2</v>
      </c>
      <c r="J138" s="5"/>
      <c r="K138" s="5">
        <f ca="1">IFERROR(__xludf.DUMMYFUNCTION("""COMPUTED_VALUE"""),1)</f>
        <v>1</v>
      </c>
      <c r="L138" s="5"/>
      <c r="M138">
        <f ca="1">IFERROR(__xludf.DUMMYFUNCTION("""COMPUTED_VALUE"""),13)</f>
        <v>13</v>
      </c>
      <c r="N138" s="8" t="str">
        <f ca="1">IFERROR(__xludf.DUMMYFUNCTION("""COMPUTED_VALUE"""),"ПО2")</f>
        <v>ПО2</v>
      </c>
    </row>
    <row r="139" spans="1:14" ht="12.45" hidden="1">
      <c r="A139" t="str">
        <f ca="1">IFERROR(__xludf.DUMMYFUNCTION("""COMPUTED_VALUE"""),"V-4-289")</f>
        <v>V-4-289</v>
      </c>
      <c r="B139" t="str">
        <f ca="1">IFERROR(__xludf.DUMMYFUNCTION("""COMPUTED_VALUE"""),"Марышева")</f>
        <v>Марышева</v>
      </c>
      <c r="C139" t="str">
        <f ca="1">IFERROR(__xludf.DUMMYFUNCTION("""COMPUTED_VALUE"""),"Анна")</f>
        <v>Анна</v>
      </c>
      <c r="D139" t="str">
        <f ca="1">IFERROR(__xludf.DUMMYFUNCTION("""COMPUTED_VALUE"""),"Школа 213")</f>
        <v>Школа 213</v>
      </c>
      <c r="E139" s="5">
        <f ca="1">IFERROR(__xludf.DUMMYFUNCTION("""COMPUTED_VALUE"""),7)</f>
        <v>7</v>
      </c>
      <c r="F139" s="5">
        <f ca="1">IFERROR(__xludf.DUMMYFUNCTION("""COMPUTED_VALUE"""),3)</f>
        <v>3</v>
      </c>
      <c r="G139" s="5">
        <f ca="1">IFERROR(__xludf.DUMMYFUNCTION("""COMPUTED_VALUE"""),3)</f>
        <v>3</v>
      </c>
      <c r="H139" s="5"/>
      <c r="I139" s="5"/>
      <c r="J139" s="5"/>
      <c r="K139" s="5"/>
      <c r="L139" s="5"/>
      <c r="M139">
        <f ca="1">IFERROR(__xludf.DUMMYFUNCTION("""COMPUTED_VALUE"""),13)</f>
        <v>13</v>
      </c>
      <c r="N139" s="8" t="str">
        <f ca="1">IFERROR(__xludf.DUMMYFUNCTION("""COMPUTED_VALUE"""),"ПО2")</f>
        <v>ПО2</v>
      </c>
    </row>
    <row r="140" spans="1:14" ht="12.45" hidden="1">
      <c r="A140" t="str">
        <f ca="1">IFERROR(__xludf.DUMMYFUNCTION("""COMPUTED_VALUE"""),"V-4-300")</f>
        <v>V-4-300</v>
      </c>
      <c r="B140" t="str">
        <f ca="1">IFERROR(__xludf.DUMMYFUNCTION("""COMPUTED_VALUE"""),"Мозаль")</f>
        <v>Мозаль</v>
      </c>
      <c r="C140" t="str">
        <f ca="1">IFERROR(__xludf.DUMMYFUNCTION("""COMPUTED_VALUE"""),"Арина")</f>
        <v>Арина</v>
      </c>
      <c r="D140" t="str">
        <f ca="1">IFERROR(__xludf.DUMMYFUNCTION("""COMPUTED_VALUE"""),"Лицей 101")</f>
        <v>Лицей 101</v>
      </c>
      <c r="E140" s="5">
        <f ca="1">IFERROR(__xludf.DUMMYFUNCTION("""COMPUTED_VALUE"""),7)</f>
        <v>7</v>
      </c>
      <c r="F140" s="5">
        <f ca="1">IFERROR(__xludf.DUMMYFUNCTION("""COMPUTED_VALUE"""),3)</f>
        <v>3</v>
      </c>
      <c r="G140" s="5"/>
      <c r="H140" s="5"/>
      <c r="I140" s="5">
        <f ca="1">IFERROR(__xludf.DUMMYFUNCTION("""COMPUTED_VALUE"""),3)</f>
        <v>3</v>
      </c>
      <c r="J140" s="5"/>
      <c r="K140" s="5"/>
      <c r="L140" s="5"/>
      <c r="M140">
        <f ca="1">IFERROR(__xludf.DUMMYFUNCTION("""COMPUTED_VALUE"""),13)</f>
        <v>13</v>
      </c>
      <c r="N140" s="8" t="str">
        <f ca="1">IFERROR(__xludf.DUMMYFUNCTION("""COMPUTED_VALUE"""),"ПО2")</f>
        <v>ПО2</v>
      </c>
    </row>
    <row r="141" spans="1:14" ht="12.45" hidden="1">
      <c r="A141" t="str">
        <f ca="1">IFERROR(__xludf.DUMMYFUNCTION("""COMPUTED_VALUE"""),"V-4-407")</f>
        <v>V-4-407</v>
      </c>
      <c r="B141" t="str">
        <f ca="1">IFERROR(__xludf.DUMMYFUNCTION("""COMPUTED_VALUE"""),"Садовский")</f>
        <v>Садовский</v>
      </c>
      <c r="C141" t="str">
        <f ca="1">IFERROR(__xludf.DUMMYFUNCTION("""COMPUTED_VALUE"""),"Илья")</f>
        <v>Илья</v>
      </c>
      <c r="D141" t="str">
        <f ca="1">IFERROR(__xludf.DUMMYFUNCTION("""COMPUTED_VALUE"""),"Школа 368")</f>
        <v>Школа 368</v>
      </c>
      <c r="E141" s="5">
        <f ca="1">IFERROR(__xludf.DUMMYFUNCTION("""COMPUTED_VALUE"""),7)</f>
        <v>7</v>
      </c>
      <c r="F141" s="5">
        <f ca="1">IFERROR(__xludf.DUMMYFUNCTION("""COMPUTED_VALUE"""),5)</f>
        <v>5</v>
      </c>
      <c r="G141" s="5">
        <f ca="1">IFERROR(__xludf.DUMMYFUNCTION("""COMPUTED_VALUE"""),1)</f>
        <v>1</v>
      </c>
      <c r="H141" s="5"/>
      <c r="I141" s="5"/>
      <c r="J141" s="5"/>
      <c r="K141" s="5"/>
      <c r="L141" s="5"/>
      <c r="M141">
        <f ca="1">IFERROR(__xludf.DUMMYFUNCTION("""COMPUTED_VALUE"""),13)</f>
        <v>13</v>
      </c>
      <c r="N141" s="8" t="str">
        <f ca="1">IFERROR(__xludf.DUMMYFUNCTION("""COMPUTED_VALUE"""),"ПО2")</f>
        <v>ПО2</v>
      </c>
    </row>
    <row r="142" spans="1:14" ht="12.45" hidden="1">
      <c r="A142" t="str">
        <f ca="1">IFERROR(__xludf.DUMMYFUNCTION("""COMPUTED_VALUE"""),"V-4-464")</f>
        <v>V-4-464</v>
      </c>
      <c r="B142" t="str">
        <f ca="1">IFERROR(__xludf.DUMMYFUNCTION("""COMPUTED_VALUE"""),"Усаров")</f>
        <v>Усаров</v>
      </c>
      <c r="C142" t="str">
        <f ca="1">IFERROR(__xludf.DUMMYFUNCTION("""COMPUTED_VALUE"""),"Никита")</f>
        <v>Никита</v>
      </c>
      <c r="D142" t="str">
        <f ca="1">IFERROR(__xludf.DUMMYFUNCTION("""COMPUTED_VALUE"""),"Школа 617")</f>
        <v>Школа 617</v>
      </c>
      <c r="E142" s="5">
        <f ca="1">IFERROR(__xludf.DUMMYFUNCTION("""COMPUTED_VALUE"""),7)</f>
        <v>7</v>
      </c>
      <c r="F142" s="5">
        <f ca="1">IFERROR(__xludf.DUMMYFUNCTION("""COMPUTED_VALUE"""),3)</f>
        <v>3</v>
      </c>
      <c r="G142" s="5">
        <f ca="1">IFERROR(__xludf.DUMMYFUNCTION("""COMPUTED_VALUE"""),2)</f>
        <v>2</v>
      </c>
      <c r="H142" s="5"/>
      <c r="I142" s="5">
        <f ca="1">IFERROR(__xludf.DUMMYFUNCTION("""COMPUTED_VALUE"""),0)</f>
        <v>0</v>
      </c>
      <c r="J142" s="5">
        <f ca="1">IFERROR(__xludf.DUMMYFUNCTION("""COMPUTED_VALUE"""),1)</f>
        <v>1</v>
      </c>
      <c r="K142" s="5"/>
      <c r="L142" s="5"/>
      <c r="M142">
        <f ca="1">IFERROR(__xludf.DUMMYFUNCTION("""COMPUTED_VALUE"""),13)</f>
        <v>13</v>
      </c>
      <c r="N142" s="8" t="str">
        <f ca="1">IFERROR(__xludf.DUMMYFUNCTION("""COMPUTED_VALUE"""),"ПО2")</f>
        <v>ПО2</v>
      </c>
    </row>
    <row r="143" spans="1:14" ht="12.45" hidden="1">
      <c r="A143" t="str">
        <f ca="1">IFERROR(__xludf.DUMMYFUNCTION("""COMPUTED_VALUE"""),"V-4-486")</f>
        <v>V-4-486</v>
      </c>
      <c r="B143" t="str">
        <f ca="1">IFERROR(__xludf.DUMMYFUNCTION("""COMPUTED_VALUE"""),"Чекотько")</f>
        <v>Чекотько</v>
      </c>
      <c r="C143" t="str">
        <f ca="1">IFERROR(__xludf.DUMMYFUNCTION("""COMPUTED_VALUE"""),"Александр")</f>
        <v>Александр</v>
      </c>
      <c r="D143" t="str">
        <f ca="1">IFERROR(__xludf.DUMMYFUNCTION("""COMPUTED_VALUE"""),"Лицей Фмл #366")</f>
        <v>Лицей Фмл #366</v>
      </c>
      <c r="E143" s="5">
        <f ca="1">IFERROR(__xludf.DUMMYFUNCTION("""COMPUTED_VALUE"""),7)</f>
        <v>7</v>
      </c>
      <c r="F143" s="5">
        <f ca="1">IFERROR(__xludf.DUMMYFUNCTION("""COMPUTED_VALUE"""),2)</f>
        <v>2</v>
      </c>
      <c r="G143" s="5"/>
      <c r="H143" s="5"/>
      <c r="I143" s="5">
        <f ca="1">IFERROR(__xludf.DUMMYFUNCTION("""COMPUTED_VALUE"""),4)</f>
        <v>4</v>
      </c>
      <c r="J143" s="5"/>
      <c r="K143" s="5"/>
      <c r="L143" s="5"/>
      <c r="M143">
        <f ca="1">IFERROR(__xludf.DUMMYFUNCTION("""COMPUTED_VALUE"""),13)</f>
        <v>13</v>
      </c>
      <c r="N143" s="8" t="str">
        <f ca="1">IFERROR(__xludf.DUMMYFUNCTION("""COMPUTED_VALUE"""),"ПО2")</f>
        <v>ПО2</v>
      </c>
    </row>
    <row r="144" spans="1:14" ht="12.45">
      <c r="A144" t="str">
        <f ca="1">IFERROR(__xludf.DUMMYFUNCTION("""COMPUTED_VALUE"""),"V-4-515")</f>
        <v>V-4-515</v>
      </c>
      <c r="B144" t="str">
        <f ca="1">IFERROR(__xludf.DUMMYFUNCTION("""COMPUTED_VALUE"""),"Шохоева")</f>
        <v>Шохоева</v>
      </c>
      <c r="C144" t="str">
        <f ca="1">IFERROR(__xludf.DUMMYFUNCTION("""COMPUTED_VALUE"""),"Лидия")</f>
        <v>Лидия</v>
      </c>
      <c r="D144" t="str">
        <f ca="1">IFERROR(__xludf.DUMMYFUNCTION("""COMPUTED_VALUE"""),"Гимназия Лингвистическая гимназия 3")</f>
        <v>Гимназия Лингвистическая гимназия 3</v>
      </c>
      <c r="E144" s="5">
        <f ca="1">IFERROR(__xludf.DUMMYFUNCTION("""COMPUTED_VALUE"""),7)</f>
        <v>7</v>
      </c>
      <c r="F144" s="5">
        <f ca="1">IFERROR(__xludf.DUMMYFUNCTION("""COMPUTED_VALUE"""),3)</f>
        <v>3</v>
      </c>
      <c r="G144" s="5">
        <f ca="1">IFERROR(__xludf.DUMMYFUNCTION("""COMPUTED_VALUE"""),1)</f>
        <v>1</v>
      </c>
      <c r="H144" s="5"/>
      <c r="I144" s="5">
        <f ca="1">IFERROR(__xludf.DUMMYFUNCTION("""COMPUTED_VALUE"""),2)</f>
        <v>2</v>
      </c>
      <c r="J144" s="5"/>
      <c r="K144" s="5"/>
      <c r="L144" s="5"/>
      <c r="M144">
        <f ca="1">IFERROR(__xludf.DUMMYFUNCTION("""COMPUTED_VALUE"""),13)</f>
        <v>13</v>
      </c>
      <c r="N144" s="8" t="str">
        <f ca="1">IFERROR(__xludf.DUMMYFUNCTION("""COMPUTED_VALUE"""),"ПО2")</f>
        <v>ПО2</v>
      </c>
    </row>
    <row r="145" spans="1:14" ht="12.45" hidden="1">
      <c r="A145" t="str">
        <f ca="1">IFERROR(__xludf.DUMMYFUNCTION("""COMPUTED_VALUE"""),"III-4-008")</f>
        <v>III-4-008</v>
      </c>
      <c r="B145" t="str">
        <f ca="1">IFERROR(__xludf.DUMMYFUNCTION("""COMPUTED_VALUE"""),"Ал-Джандали")</f>
        <v>Ал-Джандали</v>
      </c>
      <c r="C145" t="str">
        <f ca="1">IFERROR(__xludf.DUMMYFUNCTION("""COMPUTED_VALUE"""),"Эвелина")</f>
        <v>Эвелина</v>
      </c>
      <c r="D145" t="str">
        <f ca="1">IFERROR(__xludf.DUMMYFUNCTION("""COMPUTED_VALUE"""),"Гимназия 642")</f>
        <v>Гимназия 642</v>
      </c>
      <c r="E145" s="5">
        <f ca="1">IFERROR(__xludf.DUMMYFUNCTION("""COMPUTED_VALUE"""),7)</f>
        <v>7</v>
      </c>
      <c r="F145" s="5">
        <f ca="1">IFERROR(__xludf.DUMMYFUNCTION("""COMPUTED_VALUE"""),3)</f>
        <v>3</v>
      </c>
      <c r="G145" s="5"/>
      <c r="H145" s="5"/>
      <c r="I145" s="5">
        <f ca="1">IFERROR(__xludf.DUMMYFUNCTION("""COMPUTED_VALUE"""),2)</f>
        <v>2</v>
      </c>
      <c r="J145" s="5"/>
      <c r="K145" s="5"/>
      <c r="L145" s="5"/>
      <c r="M145">
        <f ca="1">IFERROR(__xludf.DUMMYFUNCTION("""COMPUTED_VALUE"""),12)</f>
        <v>12</v>
      </c>
      <c r="N145" s="8"/>
    </row>
    <row r="146" spans="1:14" ht="12.45" hidden="1">
      <c r="A146" t="str">
        <f ca="1">IFERROR(__xludf.DUMMYFUNCTION("""COMPUTED_VALUE"""),"III-4-029")</f>
        <v>III-4-029</v>
      </c>
      <c r="B146" t="str">
        <f ca="1">IFERROR(__xludf.DUMMYFUNCTION("""COMPUTED_VALUE"""),"Барт")</f>
        <v>Барт</v>
      </c>
      <c r="C146" t="str">
        <f ca="1">IFERROR(__xludf.DUMMYFUNCTION("""COMPUTED_VALUE"""),"Стефан")</f>
        <v>Стефан</v>
      </c>
      <c r="D146" t="str">
        <f ca="1">IFERROR(__xludf.DUMMYFUNCTION("""COMPUTED_VALUE"""),"Школа 222 Петришуле")</f>
        <v>Школа 222 Петришуле</v>
      </c>
      <c r="E146" s="5">
        <f ca="1">IFERROR(__xludf.DUMMYFUNCTION("""COMPUTED_VALUE"""),7)</f>
        <v>7</v>
      </c>
      <c r="F146" s="5">
        <f ca="1">IFERROR(__xludf.DUMMYFUNCTION("""COMPUTED_VALUE"""),3)</f>
        <v>3</v>
      </c>
      <c r="G146" s="5"/>
      <c r="H146" s="5"/>
      <c r="I146" s="5">
        <f ca="1">IFERROR(__xludf.DUMMYFUNCTION("""COMPUTED_VALUE"""),2)</f>
        <v>2</v>
      </c>
      <c r="J146" s="5"/>
      <c r="K146" s="5"/>
      <c r="L146" s="5"/>
      <c r="M146">
        <f ca="1">IFERROR(__xludf.DUMMYFUNCTION("""COMPUTED_VALUE"""),12)</f>
        <v>12</v>
      </c>
      <c r="N146" s="8"/>
    </row>
    <row r="147" spans="1:14" ht="12.45" hidden="1">
      <c r="A147" t="str">
        <f ca="1">IFERROR(__xludf.DUMMYFUNCTION("""COMPUTED_VALUE"""),"III-4-034")</f>
        <v>III-4-034</v>
      </c>
      <c r="B147" t="str">
        <f ca="1">IFERROR(__xludf.DUMMYFUNCTION("""COMPUTED_VALUE"""),"Бекяшев")</f>
        <v>Бекяшев</v>
      </c>
      <c r="C147" t="str">
        <f ca="1">IFERROR(__xludf.DUMMYFUNCTION("""COMPUTED_VALUE"""),"Дамир")</f>
        <v>Дамир</v>
      </c>
      <c r="D147" t="str">
        <f ca="1">IFERROR(__xludf.DUMMYFUNCTION("""COMPUTED_VALUE"""),"Школа 481")</f>
        <v>Школа 481</v>
      </c>
      <c r="E147" s="5">
        <f ca="1">IFERROR(__xludf.DUMMYFUNCTION("""COMPUTED_VALUE"""),7)</f>
        <v>7</v>
      </c>
      <c r="F147" s="5">
        <f ca="1">IFERROR(__xludf.DUMMYFUNCTION("""COMPUTED_VALUE"""),3)</f>
        <v>3</v>
      </c>
      <c r="G147" s="5"/>
      <c r="H147" s="5"/>
      <c r="I147" s="5">
        <f ca="1">IFERROR(__xludf.DUMMYFUNCTION("""COMPUTED_VALUE"""),2)</f>
        <v>2</v>
      </c>
      <c r="J147" s="5"/>
      <c r="K147" s="5"/>
      <c r="L147" s="5"/>
      <c r="M147">
        <f ca="1">IFERROR(__xludf.DUMMYFUNCTION("""COMPUTED_VALUE"""),12)</f>
        <v>12</v>
      </c>
      <c r="N147" s="8"/>
    </row>
    <row r="148" spans="1:14" ht="12.45" hidden="1">
      <c r="A148" t="str">
        <f ca="1">IFERROR(__xludf.DUMMYFUNCTION("""COMPUTED_VALUE"""),"III-4-044")</f>
        <v>III-4-044</v>
      </c>
      <c r="B148" t="str">
        <f ca="1">IFERROR(__xludf.DUMMYFUNCTION("""COMPUTED_VALUE"""),"Беляков")</f>
        <v>Беляков</v>
      </c>
      <c r="C148" t="str">
        <f ca="1">IFERROR(__xludf.DUMMYFUNCTION("""COMPUTED_VALUE"""),"Андрей")</f>
        <v>Андрей</v>
      </c>
      <c r="D148" t="str">
        <f ca="1">IFERROR(__xludf.DUMMYFUNCTION("""COMPUTED_VALUE"""),"Гимназия 157")</f>
        <v>Гимназия 157</v>
      </c>
      <c r="E148" s="5">
        <f ca="1">IFERROR(__xludf.DUMMYFUNCTION("""COMPUTED_VALUE"""),7)</f>
        <v>7</v>
      </c>
      <c r="F148" s="5">
        <f ca="1">IFERROR(__xludf.DUMMYFUNCTION("""COMPUTED_VALUE"""),3)</f>
        <v>3</v>
      </c>
      <c r="G148" s="5"/>
      <c r="H148" s="5"/>
      <c r="I148" s="5">
        <f ca="1">IFERROR(__xludf.DUMMYFUNCTION("""COMPUTED_VALUE"""),2)</f>
        <v>2</v>
      </c>
      <c r="J148" s="5"/>
      <c r="K148" s="5"/>
      <c r="L148" s="5"/>
      <c r="M148">
        <f ca="1">IFERROR(__xludf.DUMMYFUNCTION("""COMPUTED_VALUE"""),12)</f>
        <v>12</v>
      </c>
      <c r="N148" s="8"/>
    </row>
    <row r="149" spans="1:14" ht="12.45" hidden="1">
      <c r="A149" t="str">
        <f ca="1">IFERROR(__xludf.DUMMYFUNCTION("""COMPUTED_VALUE"""),"III-4-056")</f>
        <v>III-4-056</v>
      </c>
      <c r="B149" t="str">
        <f ca="1">IFERROR(__xludf.DUMMYFUNCTION("""COMPUTED_VALUE"""),"Бойцова")</f>
        <v>Бойцова</v>
      </c>
      <c r="C149" t="str">
        <f ca="1">IFERROR(__xludf.DUMMYFUNCTION("""COMPUTED_VALUE"""),"Алена")</f>
        <v>Алена</v>
      </c>
      <c r="D149" t="str">
        <f ca="1">IFERROR(__xludf.DUMMYFUNCTION("""COMPUTED_VALUE"""),"Лицей 366")</f>
        <v>Лицей 366</v>
      </c>
      <c r="E149" s="5">
        <f ca="1">IFERROR(__xludf.DUMMYFUNCTION("""COMPUTED_VALUE"""),7)</f>
        <v>7</v>
      </c>
      <c r="F149" s="5"/>
      <c r="G149" s="5">
        <f ca="1">IFERROR(__xludf.DUMMYFUNCTION("""COMPUTED_VALUE"""),2)</f>
        <v>2</v>
      </c>
      <c r="H149" s="5"/>
      <c r="I149" s="5">
        <f ca="1">IFERROR(__xludf.DUMMYFUNCTION("""COMPUTED_VALUE"""),3)</f>
        <v>3</v>
      </c>
      <c r="J149" s="5"/>
      <c r="K149" s="5"/>
      <c r="L149" s="5"/>
      <c r="M149">
        <f ca="1">IFERROR(__xludf.DUMMYFUNCTION("""COMPUTED_VALUE"""),12)</f>
        <v>12</v>
      </c>
      <c r="N149" s="8"/>
    </row>
    <row r="150" spans="1:14" ht="12.45" hidden="1">
      <c r="A150" t="str">
        <f ca="1">IFERROR(__xludf.DUMMYFUNCTION("""COMPUTED_VALUE"""),"III-4-084")</f>
        <v>III-4-084</v>
      </c>
      <c r="B150" t="str">
        <f ca="1">IFERROR(__xludf.DUMMYFUNCTION("""COMPUTED_VALUE"""),"Варфоломеев")</f>
        <v>Варфоломеев</v>
      </c>
      <c r="C150" t="str">
        <f ca="1">IFERROR(__xludf.DUMMYFUNCTION("""COMPUTED_VALUE"""),"Арсений")</f>
        <v>Арсений</v>
      </c>
      <c r="D150" t="str">
        <f ca="1">IFERROR(__xludf.DUMMYFUNCTION("""COMPUTED_VALUE"""),"Гимназия 446")</f>
        <v>Гимназия 446</v>
      </c>
      <c r="E150" s="5">
        <f ca="1">IFERROR(__xludf.DUMMYFUNCTION("""COMPUTED_VALUE"""),7)</f>
        <v>7</v>
      </c>
      <c r="F150" s="5">
        <f ca="1">IFERROR(__xludf.DUMMYFUNCTION("""COMPUTED_VALUE"""),3)</f>
        <v>3</v>
      </c>
      <c r="G150" s="5"/>
      <c r="H150" s="5"/>
      <c r="I150" s="5">
        <f ca="1">IFERROR(__xludf.DUMMYFUNCTION("""COMPUTED_VALUE"""),2)</f>
        <v>2</v>
      </c>
      <c r="J150" s="5"/>
      <c r="K150" s="5"/>
      <c r="L150" s="5"/>
      <c r="M150">
        <f ca="1">IFERROR(__xludf.DUMMYFUNCTION("""COMPUTED_VALUE"""),12)</f>
        <v>12</v>
      </c>
      <c r="N150" s="8"/>
    </row>
    <row r="151" spans="1:14" ht="12.45" hidden="1">
      <c r="A151" t="str">
        <f ca="1">IFERROR(__xludf.DUMMYFUNCTION("""COMPUTED_VALUE"""),"III-4-091")</f>
        <v>III-4-091</v>
      </c>
      <c r="B151" t="str">
        <f ca="1">IFERROR(__xludf.DUMMYFUNCTION("""COMPUTED_VALUE"""),"Вдовенко")</f>
        <v>Вдовенко</v>
      </c>
      <c r="C151" t="str">
        <f ca="1">IFERROR(__xludf.DUMMYFUNCTION("""COMPUTED_VALUE"""),"Виталий")</f>
        <v>Виталий</v>
      </c>
      <c r="D151" t="str">
        <f ca="1">IFERROR(__xludf.DUMMYFUNCTION("""COMPUTED_VALUE"""),"Лицей 9")</f>
        <v>Лицей 9</v>
      </c>
      <c r="E151" s="5">
        <f ca="1">IFERROR(__xludf.DUMMYFUNCTION("""COMPUTED_VALUE"""),7)</f>
        <v>7</v>
      </c>
      <c r="F151" s="5">
        <f ca="1">IFERROR(__xludf.DUMMYFUNCTION("""COMPUTED_VALUE"""),3)</f>
        <v>3</v>
      </c>
      <c r="G151" s="5"/>
      <c r="H151" s="5"/>
      <c r="I151" s="5">
        <f ca="1">IFERROR(__xludf.DUMMYFUNCTION("""COMPUTED_VALUE"""),2)</f>
        <v>2</v>
      </c>
      <c r="J151" s="5"/>
      <c r="K151" s="5"/>
      <c r="L151" s="5"/>
      <c r="M151">
        <f ca="1">IFERROR(__xludf.DUMMYFUNCTION("""COMPUTED_VALUE"""),12)</f>
        <v>12</v>
      </c>
      <c r="N151" s="8"/>
    </row>
    <row r="152" spans="1:14" ht="12.45" hidden="1">
      <c r="A152" t="str">
        <f ca="1">IFERROR(__xludf.DUMMYFUNCTION("""COMPUTED_VALUE"""),"III-4-116")</f>
        <v>III-4-116</v>
      </c>
      <c r="B152" t="str">
        <f ca="1">IFERROR(__xludf.DUMMYFUNCTION("""COMPUTED_VALUE"""),"Гаянова")</f>
        <v>Гаянова</v>
      </c>
      <c r="C152" t="str">
        <f ca="1">IFERROR(__xludf.DUMMYFUNCTION("""COMPUTED_VALUE"""),"Анна")</f>
        <v>Анна</v>
      </c>
      <c r="D152" t="str">
        <f ca="1">IFERROR(__xludf.DUMMYFUNCTION("""COMPUTED_VALUE"""),"Гимназия 642")</f>
        <v>Гимназия 642</v>
      </c>
      <c r="E152" s="5"/>
      <c r="F152" s="5">
        <f ca="1">IFERROR(__xludf.DUMMYFUNCTION("""COMPUTED_VALUE"""),3)</f>
        <v>3</v>
      </c>
      <c r="G152" s="5">
        <f ca="1">IFERROR(__xludf.DUMMYFUNCTION("""COMPUTED_VALUE"""),5)</f>
        <v>5</v>
      </c>
      <c r="H152" s="5"/>
      <c r="I152" s="5">
        <f ca="1">IFERROR(__xludf.DUMMYFUNCTION("""COMPUTED_VALUE"""),4)</f>
        <v>4</v>
      </c>
      <c r="J152" s="5"/>
      <c r="K152" s="5"/>
      <c r="L152" s="5"/>
      <c r="M152">
        <f ca="1">IFERROR(__xludf.DUMMYFUNCTION("""COMPUTED_VALUE"""),12)</f>
        <v>12</v>
      </c>
      <c r="N152" s="8"/>
    </row>
    <row r="153" spans="1:14" ht="12.45" hidden="1">
      <c r="A153" t="str">
        <f ca="1">IFERROR(__xludf.DUMMYFUNCTION("""COMPUTED_VALUE"""),"III-4-145")</f>
        <v>III-4-145</v>
      </c>
      <c r="B153" t="str">
        <f ca="1">IFERROR(__xludf.DUMMYFUNCTION("""COMPUTED_VALUE"""),"Данилов")</f>
        <v>Данилов</v>
      </c>
      <c r="C153" t="str">
        <f ca="1">IFERROR(__xludf.DUMMYFUNCTION("""COMPUTED_VALUE"""),"Александр")</f>
        <v>Александр</v>
      </c>
      <c r="D153" t="str">
        <f ca="1">IFERROR(__xludf.DUMMYFUNCTION("""COMPUTED_VALUE"""),"Лицей 369")</f>
        <v>Лицей 369</v>
      </c>
      <c r="E153" s="5">
        <f ca="1">IFERROR(__xludf.DUMMYFUNCTION("""COMPUTED_VALUE"""),7)</f>
        <v>7</v>
      </c>
      <c r="F153" s="5">
        <f ca="1">IFERROR(__xludf.DUMMYFUNCTION("""COMPUTED_VALUE"""),3)</f>
        <v>3</v>
      </c>
      <c r="G153" s="5">
        <f ca="1">IFERROR(__xludf.DUMMYFUNCTION("""COMPUTED_VALUE"""),2)</f>
        <v>2</v>
      </c>
      <c r="H153" s="5"/>
      <c r="I153" s="5"/>
      <c r="J153" s="5"/>
      <c r="K153" s="5"/>
      <c r="L153" s="5"/>
      <c r="M153">
        <f ca="1">IFERROR(__xludf.DUMMYFUNCTION("""COMPUTED_VALUE"""),12)</f>
        <v>12</v>
      </c>
      <c r="N153" s="8"/>
    </row>
    <row r="154" spans="1:14" ht="12.45" hidden="1">
      <c r="A154" t="str">
        <f ca="1">IFERROR(__xludf.DUMMYFUNCTION("""COMPUTED_VALUE"""),"III-4-165")</f>
        <v>III-4-165</v>
      </c>
      <c r="B154" t="str">
        <f ca="1">IFERROR(__xludf.DUMMYFUNCTION("""COMPUTED_VALUE"""),"Евграфова")</f>
        <v>Евграфова</v>
      </c>
      <c r="C154" t="str">
        <f ca="1">IFERROR(__xludf.DUMMYFUNCTION("""COMPUTED_VALUE"""),"Александра")</f>
        <v>Александра</v>
      </c>
      <c r="D154" t="str">
        <f ca="1">IFERROR(__xludf.DUMMYFUNCTION("""COMPUTED_VALUE"""),"Школа ЦРШ КОД Успеха")</f>
        <v>Школа ЦРШ КОД Успеха</v>
      </c>
      <c r="E154" s="5">
        <f ca="1">IFERROR(__xludf.DUMMYFUNCTION("""COMPUTED_VALUE"""),7)</f>
        <v>7</v>
      </c>
      <c r="F154" s="5">
        <f ca="1">IFERROR(__xludf.DUMMYFUNCTION("""COMPUTED_VALUE"""),3)</f>
        <v>3</v>
      </c>
      <c r="G154" s="5">
        <f ca="1">IFERROR(__xludf.DUMMYFUNCTION("""COMPUTED_VALUE"""),2)</f>
        <v>2</v>
      </c>
      <c r="H154" s="5"/>
      <c r="I154" s="5"/>
      <c r="J154" s="5"/>
      <c r="K154" s="5"/>
      <c r="L154" s="5"/>
      <c r="M154">
        <f ca="1">IFERROR(__xludf.DUMMYFUNCTION("""COMPUTED_VALUE"""),12)</f>
        <v>12</v>
      </c>
      <c r="N154" s="8"/>
    </row>
    <row r="155" spans="1:14" ht="12.45" hidden="1">
      <c r="A155" t="str">
        <f ca="1">IFERROR(__xludf.DUMMYFUNCTION("""COMPUTED_VALUE"""),"III-4-214")</f>
        <v>III-4-214</v>
      </c>
      <c r="B155" t="str">
        <f ca="1">IFERROR(__xludf.DUMMYFUNCTION("""COMPUTED_VALUE"""),"Карельский")</f>
        <v>Карельский</v>
      </c>
      <c r="C155" t="str">
        <f ca="1">IFERROR(__xludf.DUMMYFUNCTION("""COMPUTED_VALUE"""),"Михаил")</f>
        <v>Михаил</v>
      </c>
      <c r="D155" t="str">
        <f ca="1">IFERROR(__xludf.DUMMYFUNCTION("""COMPUTED_VALUE"""),"Школа 456")</f>
        <v>Школа 456</v>
      </c>
      <c r="E155" s="5">
        <f ca="1">IFERROR(__xludf.DUMMYFUNCTION("""COMPUTED_VALUE"""),7)</f>
        <v>7</v>
      </c>
      <c r="F155" s="5">
        <f ca="1">IFERROR(__xludf.DUMMYFUNCTION("""COMPUTED_VALUE"""),3)</f>
        <v>3</v>
      </c>
      <c r="G155" s="5"/>
      <c r="H155" s="5"/>
      <c r="I155" s="5">
        <f ca="1">IFERROR(__xludf.DUMMYFUNCTION("""COMPUTED_VALUE"""),2)</f>
        <v>2</v>
      </c>
      <c r="J155" s="5"/>
      <c r="K155" s="5"/>
      <c r="L155" s="5"/>
      <c r="M155">
        <f ca="1">IFERROR(__xludf.DUMMYFUNCTION("""COMPUTED_VALUE"""),12)</f>
        <v>12</v>
      </c>
      <c r="N155" s="8"/>
    </row>
    <row r="156" spans="1:14" ht="12.45" hidden="1">
      <c r="A156" t="str">
        <f ca="1">IFERROR(__xludf.DUMMYFUNCTION("""COMPUTED_VALUE"""),"III-4-219")</f>
        <v>III-4-219</v>
      </c>
      <c r="B156" t="str">
        <f ca="1">IFERROR(__xludf.DUMMYFUNCTION("""COMPUTED_VALUE"""),"Кику")</f>
        <v>Кику</v>
      </c>
      <c r="C156" t="str">
        <f ca="1">IFERROR(__xludf.DUMMYFUNCTION("""COMPUTED_VALUE"""),"Александра")</f>
        <v>Александра</v>
      </c>
      <c r="D156" t="str">
        <f ca="1">IFERROR(__xludf.DUMMYFUNCTION("""COMPUTED_VALUE"""),"Школа Квадривиум")</f>
        <v>Школа Квадривиум</v>
      </c>
      <c r="E156" s="5">
        <f ca="1">IFERROR(__xludf.DUMMYFUNCTION("""COMPUTED_VALUE"""),7)</f>
        <v>7</v>
      </c>
      <c r="F156" s="5">
        <f ca="1">IFERROR(__xludf.DUMMYFUNCTION("""COMPUTED_VALUE"""),3)</f>
        <v>3</v>
      </c>
      <c r="G156" s="5">
        <f ca="1">IFERROR(__xludf.DUMMYFUNCTION("""COMPUTED_VALUE"""),2)</f>
        <v>2</v>
      </c>
      <c r="H156" s="5"/>
      <c r="I156" s="5"/>
      <c r="J156" s="5"/>
      <c r="K156" s="5"/>
      <c r="L156" s="5"/>
      <c r="M156">
        <f ca="1">IFERROR(__xludf.DUMMYFUNCTION("""COMPUTED_VALUE"""),12)</f>
        <v>12</v>
      </c>
      <c r="N156" s="8"/>
    </row>
    <row r="157" spans="1:14" ht="12.45" hidden="1">
      <c r="A157" t="str">
        <f ca="1">IFERROR(__xludf.DUMMYFUNCTION("""COMPUTED_VALUE"""),"III-4-227")</f>
        <v>III-4-227</v>
      </c>
      <c r="B157" t="str">
        <f ca="1">IFERROR(__xludf.DUMMYFUNCTION("""COMPUTED_VALUE"""),"Козаренко")</f>
        <v>Козаренко</v>
      </c>
      <c r="C157" t="str">
        <f ca="1">IFERROR(__xludf.DUMMYFUNCTION("""COMPUTED_VALUE"""),"Алена")</f>
        <v>Алена</v>
      </c>
      <c r="D157" t="str">
        <f ca="1">IFERROR(__xludf.DUMMYFUNCTION("""COMPUTED_VALUE"""),"Школа 619")</f>
        <v>Школа 619</v>
      </c>
      <c r="E157" s="5"/>
      <c r="F157" s="5">
        <f ca="1">IFERROR(__xludf.DUMMYFUNCTION("""COMPUTED_VALUE"""),3)</f>
        <v>3</v>
      </c>
      <c r="G157" s="5"/>
      <c r="H157" s="5">
        <f ca="1">IFERROR(__xludf.DUMMYFUNCTION("""COMPUTED_VALUE"""),7)</f>
        <v>7</v>
      </c>
      <c r="I157" s="5">
        <f ca="1">IFERROR(__xludf.DUMMYFUNCTION("""COMPUTED_VALUE"""),2)</f>
        <v>2</v>
      </c>
      <c r="J157" s="5"/>
      <c r="K157" s="5"/>
      <c r="L157" s="5"/>
      <c r="M157">
        <f ca="1">IFERROR(__xludf.DUMMYFUNCTION("""COMPUTED_VALUE"""),12)</f>
        <v>12</v>
      </c>
      <c r="N157" s="8"/>
    </row>
    <row r="158" spans="1:14" ht="12.45" hidden="1">
      <c r="A158" t="str">
        <f ca="1">IFERROR(__xludf.DUMMYFUNCTION("""COMPUTED_VALUE"""),"III-4-241")</f>
        <v>III-4-241</v>
      </c>
      <c r="B158" t="str">
        <f ca="1">IFERROR(__xludf.DUMMYFUNCTION("""COMPUTED_VALUE"""),"Краснощекова")</f>
        <v>Краснощекова</v>
      </c>
      <c r="C158" t="str">
        <f ca="1">IFERROR(__xludf.DUMMYFUNCTION("""COMPUTED_VALUE"""),"Анна")</f>
        <v>Анна</v>
      </c>
      <c r="D158" t="str">
        <f ca="1">IFERROR(__xludf.DUMMYFUNCTION("""COMPUTED_VALUE"""),"Школа 553")</f>
        <v>Школа 553</v>
      </c>
      <c r="E158" s="5">
        <f ca="1">IFERROR(__xludf.DUMMYFUNCTION("""COMPUTED_VALUE"""),7)</f>
        <v>7</v>
      </c>
      <c r="F158" s="5">
        <f ca="1">IFERROR(__xludf.DUMMYFUNCTION("""COMPUTED_VALUE"""),3)</f>
        <v>3</v>
      </c>
      <c r="G158" s="5"/>
      <c r="H158" s="5"/>
      <c r="I158" s="5">
        <f ca="1">IFERROR(__xludf.DUMMYFUNCTION("""COMPUTED_VALUE"""),2)</f>
        <v>2</v>
      </c>
      <c r="J158" s="5"/>
      <c r="K158" s="5"/>
      <c r="L158" s="5"/>
      <c r="M158">
        <f ca="1">IFERROR(__xludf.DUMMYFUNCTION("""COMPUTED_VALUE"""),12)</f>
        <v>12</v>
      </c>
      <c r="N158" s="8"/>
    </row>
    <row r="159" spans="1:14" ht="12.45" hidden="1">
      <c r="A159" t="str">
        <f ca="1">IFERROR(__xludf.DUMMYFUNCTION("""COMPUTED_VALUE"""),"III-4-259")</f>
        <v>III-4-259</v>
      </c>
      <c r="B159" t="str">
        <f ca="1">IFERROR(__xludf.DUMMYFUNCTION("""COMPUTED_VALUE"""),"Кюриев")</f>
        <v>Кюриев</v>
      </c>
      <c r="C159" t="str">
        <f ca="1">IFERROR(__xludf.DUMMYFUNCTION("""COMPUTED_VALUE"""),"Роман")</f>
        <v>Роман</v>
      </c>
      <c r="D159" t="str">
        <f ca="1">IFERROR(__xludf.DUMMYFUNCTION("""COMPUTED_VALUE"""),"Школа Бугровская")</f>
        <v>Школа Бугровская</v>
      </c>
      <c r="E159" s="5">
        <f ca="1">IFERROR(__xludf.DUMMYFUNCTION("""COMPUTED_VALUE"""),7)</f>
        <v>7</v>
      </c>
      <c r="F159" s="5">
        <f ca="1">IFERROR(__xludf.DUMMYFUNCTION("""COMPUTED_VALUE"""),3)</f>
        <v>3</v>
      </c>
      <c r="G159" s="5">
        <f ca="1">IFERROR(__xludf.DUMMYFUNCTION("""COMPUTED_VALUE"""),2)</f>
        <v>2</v>
      </c>
      <c r="H159" s="5"/>
      <c r="I159" s="5"/>
      <c r="J159" s="5"/>
      <c r="K159" s="5"/>
      <c r="L159" s="5"/>
      <c r="M159">
        <f ca="1">IFERROR(__xludf.DUMMYFUNCTION("""COMPUTED_VALUE"""),12)</f>
        <v>12</v>
      </c>
      <c r="N159" s="8"/>
    </row>
    <row r="160" spans="1:14" ht="12.45" hidden="1">
      <c r="A160" t="str">
        <f ca="1">IFERROR(__xludf.DUMMYFUNCTION("""COMPUTED_VALUE"""),"V-4-282")</f>
        <v>V-4-282</v>
      </c>
      <c r="B160" t="str">
        <f ca="1">IFERROR(__xludf.DUMMYFUNCTION("""COMPUTED_VALUE"""),"Малашенко")</f>
        <v>Малашенко</v>
      </c>
      <c r="C160" t="str">
        <f ca="1">IFERROR(__xludf.DUMMYFUNCTION("""COMPUTED_VALUE"""),"Дмитрий")</f>
        <v>Дмитрий</v>
      </c>
      <c r="D160" t="str">
        <f ca="1">IFERROR(__xludf.DUMMYFUNCTION("""COMPUTED_VALUE"""),"Школа 31")</f>
        <v>Школа 31</v>
      </c>
      <c r="E160" s="5">
        <f ca="1">IFERROR(__xludf.DUMMYFUNCTION("""COMPUTED_VALUE"""),2)</f>
        <v>2</v>
      </c>
      <c r="F160" s="5">
        <f ca="1">IFERROR(__xludf.DUMMYFUNCTION("""COMPUTED_VALUE"""),3)</f>
        <v>3</v>
      </c>
      <c r="G160" s="5"/>
      <c r="H160" s="5">
        <f ca="1">IFERROR(__xludf.DUMMYFUNCTION("""COMPUTED_VALUE"""),7)</f>
        <v>7</v>
      </c>
      <c r="I160" s="5"/>
      <c r="J160" s="5"/>
      <c r="K160" s="5"/>
      <c r="L160" s="5"/>
      <c r="M160">
        <f ca="1">IFERROR(__xludf.DUMMYFUNCTION("""COMPUTED_VALUE"""),12)</f>
        <v>12</v>
      </c>
      <c r="N160" s="8"/>
    </row>
    <row r="161" spans="1:14" ht="12.45" hidden="1">
      <c r="A161" t="str">
        <f ca="1">IFERROR(__xludf.DUMMYFUNCTION("""COMPUTED_VALUE"""),"V-4-309")</f>
        <v>V-4-309</v>
      </c>
      <c r="B161" t="str">
        <f ca="1">IFERROR(__xludf.DUMMYFUNCTION("""COMPUTED_VALUE"""),"Мягков")</f>
        <v>Мягков</v>
      </c>
      <c r="C161" t="str">
        <f ca="1">IFERROR(__xludf.DUMMYFUNCTION("""COMPUTED_VALUE"""),"Пётр")</f>
        <v>Пётр</v>
      </c>
      <c r="D161" t="str">
        <f ca="1">IFERROR(__xludf.DUMMYFUNCTION("""COMPUTED_VALUE"""),"Гимназия 631")</f>
        <v>Гимназия 631</v>
      </c>
      <c r="E161" s="5">
        <f ca="1">IFERROR(__xludf.DUMMYFUNCTION("""COMPUTED_VALUE"""),7)</f>
        <v>7</v>
      </c>
      <c r="F161" s="5">
        <f ca="1">IFERROR(__xludf.DUMMYFUNCTION("""COMPUTED_VALUE"""),4)</f>
        <v>4</v>
      </c>
      <c r="G161" s="5"/>
      <c r="H161" s="5"/>
      <c r="I161" s="5">
        <f ca="1">IFERROR(__xludf.DUMMYFUNCTION("""COMPUTED_VALUE"""),1)</f>
        <v>1</v>
      </c>
      <c r="J161" s="5"/>
      <c r="K161" s="5"/>
      <c r="L161" s="5"/>
      <c r="M161">
        <f ca="1">IFERROR(__xludf.DUMMYFUNCTION("""COMPUTED_VALUE"""),12)</f>
        <v>12</v>
      </c>
      <c r="N161" s="8"/>
    </row>
    <row r="162" spans="1:14" ht="12.45" hidden="1">
      <c r="A162" t="str">
        <f ca="1">IFERROR(__xludf.DUMMYFUNCTION("""COMPUTED_VALUE"""),"V-4-329")</f>
        <v>V-4-329</v>
      </c>
      <c r="B162" t="str">
        <f ca="1">IFERROR(__xludf.DUMMYFUNCTION("""COMPUTED_VALUE"""),"Новодворцев")</f>
        <v>Новодворцев</v>
      </c>
      <c r="C162" t="str">
        <f ca="1">IFERROR(__xludf.DUMMYFUNCTION("""COMPUTED_VALUE"""),"Михаил")</f>
        <v>Михаил</v>
      </c>
      <c r="D162" t="str">
        <f ca="1">IFERROR(__xludf.DUMMYFUNCTION("""COMPUTED_VALUE"""),"Лицей 64")</f>
        <v>Лицей 64</v>
      </c>
      <c r="E162" s="5">
        <f ca="1">IFERROR(__xludf.DUMMYFUNCTION("""COMPUTED_VALUE"""),2)</f>
        <v>2</v>
      </c>
      <c r="F162" s="5">
        <f ca="1">IFERROR(__xludf.DUMMYFUNCTION("""COMPUTED_VALUE"""),4)</f>
        <v>4</v>
      </c>
      <c r="G162" s="5">
        <f ca="1">IFERROR(__xludf.DUMMYFUNCTION("""COMPUTED_VALUE"""),2)</f>
        <v>2</v>
      </c>
      <c r="H162" s="5"/>
      <c r="I162" s="5"/>
      <c r="J162" s="5"/>
      <c r="K162" s="5">
        <f ca="1">IFERROR(__xludf.DUMMYFUNCTION("""COMPUTED_VALUE"""),0)</f>
        <v>0</v>
      </c>
      <c r="L162" s="5">
        <f ca="1">IFERROR(__xludf.DUMMYFUNCTION("""COMPUTED_VALUE"""),4)</f>
        <v>4</v>
      </c>
      <c r="M162">
        <f ca="1">IFERROR(__xludf.DUMMYFUNCTION("""COMPUTED_VALUE"""),12)</f>
        <v>12</v>
      </c>
      <c r="N162" s="8"/>
    </row>
    <row r="163" spans="1:14" ht="12.45" hidden="1">
      <c r="A163" t="str">
        <f ca="1">IFERROR(__xludf.DUMMYFUNCTION("""COMPUTED_VALUE"""),"V-4-346")</f>
        <v>V-4-346</v>
      </c>
      <c r="B163" t="str">
        <f ca="1">IFERROR(__xludf.DUMMYFUNCTION("""COMPUTED_VALUE"""),"Петрова")</f>
        <v>Петрова</v>
      </c>
      <c r="C163" t="str">
        <f ca="1">IFERROR(__xludf.DUMMYFUNCTION("""COMPUTED_VALUE"""),"Карина")</f>
        <v>Карина</v>
      </c>
      <c r="D163" t="str">
        <f ca="1">IFERROR(__xludf.DUMMYFUNCTION("""COMPUTED_VALUE"""),"Школа 45")</f>
        <v>Школа 45</v>
      </c>
      <c r="E163" s="5">
        <f ca="1">IFERROR(__xludf.DUMMYFUNCTION("""COMPUTED_VALUE"""),7)</f>
        <v>7</v>
      </c>
      <c r="F163" s="5">
        <f ca="1">IFERROR(__xludf.DUMMYFUNCTION("""COMPUTED_VALUE"""),3)</f>
        <v>3</v>
      </c>
      <c r="G163" s="5"/>
      <c r="H163" s="5"/>
      <c r="I163" s="5">
        <f ca="1">IFERROR(__xludf.DUMMYFUNCTION("""COMPUTED_VALUE"""),1)</f>
        <v>1</v>
      </c>
      <c r="J163" s="5"/>
      <c r="K163" s="5">
        <f ca="1">IFERROR(__xludf.DUMMYFUNCTION("""COMPUTED_VALUE"""),1)</f>
        <v>1</v>
      </c>
      <c r="L163" s="5"/>
      <c r="M163">
        <f ca="1">IFERROR(__xludf.DUMMYFUNCTION("""COMPUTED_VALUE"""),12)</f>
        <v>12</v>
      </c>
      <c r="N163" s="8"/>
    </row>
    <row r="164" spans="1:14" ht="12.45" hidden="1">
      <c r="A164" t="str">
        <f ca="1">IFERROR(__xludf.DUMMYFUNCTION("""COMPUTED_VALUE"""),"V-4-352")</f>
        <v>V-4-352</v>
      </c>
      <c r="B164" t="str">
        <f ca="1">IFERROR(__xludf.DUMMYFUNCTION("""COMPUTED_VALUE"""),"Платонов")</f>
        <v>Платонов</v>
      </c>
      <c r="C164" t="str">
        <f ca="1">IFERROR(__xludf.DUMMYFUNCTION("""COMPUTED_VALUE"""),"Илья")</f>
        <v>Илья</v>
      </c>
      <c r="D164" t="str">
        <f ca="1">IFERROR(__xludf.DUMMYFUNCTION("""COMPUTED_VALUE"""),"Школа 292")</f>
        <v>Школа 292</v>
      </c>
      <c r="E164" s="5">
        <f ca="1">IFERROR(__xludf.DUMMYFUNCTION("""COMPUTED_VALUE"""),7)</f>
        <v>7</v>
      </c>
      <c r="F164" s="5">
        <f ca="1">IFERROR(__xludf.DUMMYFUNCTION("""COMPUTED_VALUE"""),3)</f>
        <v>3</v>
      </c>
      <c r="G164" s="5"/>
      <c r="H164" s="5"/>
      <c r="I164" s="5">
        <f ca="1">IFERROR(__xludf.DUMMYFUNCTION("""COMPUTED_VALUE"""),2)</f>
        <v>2</v>
      </c>
      <c r="J164" s="5"/>
      <c r="K164" s="5"/>
      <c r="L164" s="5"/>
      <c r="M164">
        <f ca="1">IFERROR(__xludf.DUMMYFUNCTION("""COMPUTED_VALUE"""),12)</f>
        <v>12</v>
      </c>
      <c r="N164" s="8"/>
    </row>
    <row r="165" spans="1:14" ht="12.45" hidden="1">
      <c r="A165" t="str">
        <f ca="1">IFERROR(__xludf.DUMMYFUNCTION("""COMPUTED_VALUE"""),"V-4-435")</f>
        <v>V-4-435</v>
      </c>
      <c r="B165" t="str">
        <f ca="1">IFERROR(__xludf.DUMMYFUNCTION("""COMPUTED_VALUE"""),"Сосова")</f>
        <v>Сосова</v>
      </c>
      <c r="C165" t="str">
        <f ca="1">IFERROR(__xludf.DUMMYFUNCTION("""COMPUTED_VALUE"""),"Марианна")</f>
        <v>Марианна</v>
      </c>
      <c r="D165" t="str">
        <f ca="1">IFERROR(__xludf.DUMMYFUNCTION("""COMPUTED_VALUE"""),"Лицей 470")</f>
        <v>Лицей 470</v>
      </c>
      <c r="E165" s="5">
        <f ca="1">IFERROR(__xludf.DUMMYFUNCTION("""COMPUTED_VALUE"""),7)</f>
        <v>7</v>
      </c>
      <c r="F165" s="5"/>
      <c r="G165" s="5">
        <f ca="1">IFERROR(__xludf.DUMMYFUNCTION("""COMPUTED_VALUE"""),1)</f>
        <v>1</v>
      </c>
      <c r="H165" s="5"/>
      <c r="I165" s="5">
        <f ca="1">IFERROR(__xludf.DUMMYFUNCTION("""COMPUTED_VALUE"""),4)</f>
        <v>4</v>
      </c>
      <c r="J165" s="5"/>
      <c r="K165" s="5"/>
      <c r="L165" s="5"/>
      <c r="M165">
        <f ca="1">IFERROR(__xludf.DUMMYFUNCTION("""COMPUTED_VALUE"""),12)</f>
        <v>12</v>
      </c>
      <c r="N165" s="8"/>
    </row>
    <row r="166" spans="1:14" ht="12.45" hidden="1">
      <c r="A166" t="str">
        <f ca="1">IFERROR(__xludf.DUMMYFUNCTION("""COMPUTED_VALUE"""),"V-4-449")</f>
        <v>V-4-449</v>
      </c>
      <c r="B166" t="str">
        <f ca="1">IFERROR(__xludf.DUMMYFUNCTION("""COMPUTED_VALUE"""),"Суслов")</f>
        <v>Суслов</v>
      </c>
      <c r="C166" t="str">
        <f ca="1">IFERROR(__xludf.DUMMYFUNCTION("""COMPUTED_VALUE"""),"Алексей")</f>
        <v>Алексей</v>
      </c>
      <c r="D166" t="str">
        <f ca="1">IFERROR(__xludf.DUMMYFUNCTION("""COMPUTED_VALUE"""),"Лицей 344")</f>
        <v>Лицей 344</v>
      </c>
      <c r="E166" s="5">
        <f ca="1">IFERROR(__xludf.DUMMYFUNCTION("""COMPUTED_VALUE"""),7)</f>
        <v>7</v>
      </c>
      <c r="F166" s="5">
        <f ca="1">IFERROR(__xludf.DUMMYFUNCTION("""COMPUTED_VALUE"""),3)</f>
        <v>3</v>
      </c>
      <c r="G166" s="5">
        <f ca="1">IFERROR(__xludf.DUMMYFUNCTION("""COMPUTED_VALUE"""),2)</f>
        <v>2</v>
      </c>
      <c r="H166" s="5"/>
      <c r="I166" s="5"/>
      <c r="J166" s="5"/>
      <c r="K166" s="5"/>
      <c r="L166" s="5"/>
      <c r="M166">
        <f ca="1">IFERROR(__xludf.DUMMYFUNCTION("""COMPUTED_VALUE"""),12)</f>
        <v>12</v>
      </c>
      <c r="N166" s="8"/>
    </row>
    <row r="167" spans="1:14" ht="12.45" hidden="1">
      <c r="A167" t="str">
        <f ca="1">IFERROR(__xludf.DUMMYFUNCTION("""COMPUTED_VALUE"""),"V-4-460")</f>
        <v>V-4-460</v>
      </c>
      <c r="B167" t="str">
        <f ca="1">IFERROR(__xludf.DUMMYFUNCTION("""COMPUTED_VALUE"""),"Тулин")</f>
        <v>Тулин</v>
      </c>
      <c r="C167" t="str">
        <f ca="1">IFERROR(__xludf.DUMMYFUNCTION("""COMPUTED_VALUE"""),"Иван")</f>
        <v>Иван</v>
      </c>
      <c r="D167" t="str">
        <f ca="1">IFERROR(__xludf.DUMMYFUNCTION("""COMPUTED_VALUE"""),"Лицей 344")</f>
        <v>Лицей 344</v>
      </c>
      <c r="E167" s="5">
        <f ca="1">IFERROR(__xludf.DUMMYFUNCTION("""COMPUTED_VALUE"""),7)</f>
        <v>7</v>
      </c>
      <c r="F167" s="5">
        <f ca="1">IFERROR(__xludf.DUMMYFUNCTION("""COMPUTED_VALUE"""),3)</f>
        <v>3</v>
      </c>
      <c r="G167" s="5"/>
      <c r="H167" s="5"/>
      <c r="I167" s="5">
        <f ca="1">IFERROR(__xludf.DUMMYFUNCTION("""COMPUTED_VALUE"""),2)</f>
        <v>2</v>
      </c>
      <c r="J167" s="5"/>
      <c r="K167" s="5"/>
      <c r="L167" s="5"/>
      <c r="M167">
        <f ca="1">IFERROR(__xludf.DUMMYFUNCTION("""COMPUTED_VALUE"""),12)</f>
        <v>12</v>
      </c>
      <c r="N167" s="8"/>
    </row>
    <row r="168" spans="1:14" ht="12.45" hidden="1">
      <c r="A168" t="str">
        <f ca="1">IFERROR(__xludf.DUMMYFUNCTION("""COMPUTED_VALUE"""),"V-4-463")</f>
        <v>V-4-463</v>
      </c>
      <c r="B168" t="str">
        <f ca="1">IFERROR(__xludf.DUMMYFUNCTION("""COMPUTED_VALUE"""),"Урусова")</f>
        <v>Урусова</v>
      </c>
      <c r="C168" t="str">
        <f ca="1">IFERROR(__xludf.DUMMYFUNCTION("""COMPUTED_VALUE"""),"София")</f>
        <v>София</v>
      </c>
      <c r="D168" t="str">
        <f ca="1">IFERROR(__xludf.DUMMYFUNCTION("""COMPUTED_VALUE"""),"Гимназия 271")</f>
        <v>Гимназия 271</v>
      </c>
      <c r="E168" s="5">
        <f ca="1">IFERROR(__xludf.DUMMYFUNCTION("""COMPUTED_VALUE"""),2)</f>
        <v>2</v>
      </c>
      <c r="F168" s="5">
        <f ca="1">IFERROR(__xludf.DUMMYFUNCTION("""COMPUTED_VALUE"""),3)</f>
        <v>3</v>
      </c>
      <c r="G168" s="5"/>
      <c r="H168" s="5">
        <f ca="1">IFERROR(__xludf.DUMMYFUNCTION("""COMPUTED_VALUE"""),7)</f>
        <v>7</v>
      </c>
      <c r="I168" s="5"/>
      <c r="J168" s="5"/>
      <c r="K168" s="5"/>
      <c r="L168" s="5"/>
      <c r="M168">
        <f ca="1">IFERROR(__xludf.DUMMYFUNCTION("""COMPUTED_VALUE"""),12)</f>
        <v>12</v>
      </c>
      <c r="N168" s="8"/>
    </row>
    <row r="169" spans="1:14" ht="12.45" hidden="1">
      <c r="A169" t="str">
        <f ca="1">IFERROR(__xludf.DUMMYFUNCTION("""COMPUTED_VALUE"""),"V-4-473")</f>
        <v>V-4-473</v>
      </c>
      <c r="B169" t="str">
        <f ca="1">IFERROR(__xludf.DUMMYFUNCTION("""COMPUTED_VALUE"""),"Федулова")</f>
        <v>Федулова</v>
      </c>
      <c r="C169" t="str">
        <f ca="1">IFERROR(__xludf.DUMMYFUNCTION("""COMPUTED_VALUE"""),"Мария")</f>
        <v>Мария</v>
      </c>
      <c r="D169" t="str">
        <f ca="1">IFERROR(__xludf.DUMMYFUNCTION("""COMPUTED_VALUE"""),"Гимназия 642")</f>
        <v>Гимназия 642</v>
      </c>
      <c r="E169" s="5">
        <f ca="1">IFERROR(__xludf.DUMMYFUNCTION("""COMPUTED_VALUE"""),7)</f>
        <v>7</v>
      </c>
      <c r="F169" s="5">
        <f ca="1">IFERROR(__xludf.DUMMYFUNCTION("""COMPUTED_VALUE"""),3)</f>
        <v>3</v>
      </c>
      <c r="G169" s="5"/>
      <c r="H169" s="5"/>
      <c r="I169" s="5">
        <f ca="1">IFERROR(__xludf.DUMMYFUNCTION("""COMPUTED_VALUE"""),2)</f>
        <v>2</v>
      </c>
      <c r="J169" s="5"/>
      <c r="K169" s="5"/>
      <c r="L169" s="5"/>
      <c r="M169">
        <f ca="1">IFERROR(__xludf.DUMMYFUNCTION("""COMPUTED_VALUE"""),12)</f>
        <v>12</v>
      </c>
      <c r="N169" s="8"/>
    </row>
    <row r="170" spans="1:14" ht="12.45" hidden="1">
      <c r="A170" t="str">
        <f ca="1">IFERROR(__xludf.DUMMYFUNCTION("""COMPUTED_VALUE"""),"V-4-479")</f>
        <v>V-4-479</v>
      </c>
      <c r="B170" t="str">
        <f ca="1">IFERROR(__xludf.DUMMYFUNCTION("""COMPUTED_VALUE"""),"Хайнацкий")</f>
        <v>Хайнацкий</v>
      </c>
      <c r="C170" t="str">
        <f ca="1">IFERROR(__xludf.DUMMYFUNCTION("""COMPUTED_VALUE"""),"Ярослав")</f>
        <v>Ярослав</v>
      </c>
      <c r="D170" t="str">
        <f ca="1">IFERROR(__xludf.DUMMYFUNCTION("""COMPUTED_VALUE"""),"Школа 60")</f>
        <v>Школа 60</v>
      </c>
      <c r="E170" s="5">
        <f ca="1">IFERROR(__xludf.DUMMYFUNCTION("""COMPUTED_VALUE"""),7)</f>
        <v>7</v>
      </c>
      <c r="F170" s="5">
        <f ca="1">IFERROR(__xludf.DUMMYFUNCTION("""COMPUTED_VALUE"""),3)</f>
        <v>3</v>
      </c>
      <c r="G170" s="5"/>
      <c r="H170" s="5"/>
      <c r="I170" s="5">
        <f ca="1">IFERROR(__xludf.DUMMYFUNCTION("""COMPUTED_VALUE"""),2)</f>
        <v>2</v>
      </c>
      <c r="J170" s="5"/>
      <c r="K170" s="5"/>
      <c r="L170" s="5"/>
      <c r="M170">
        <f ca="1">IFERROR(__xludf.DUMMYFUNCTION("""COMPUTED_VALUE"""),12)</f>
        <v>12</v>
      </c>
      <c r="N170" s="8"/>
    </row>
    <row r="171" spans="1:14" ht="12.45" hidden="1">
      <c r="A171" t="str">
        <f ca="1">IFERROR(__xludf.DUMMYFUNCTION("""COMPUTED_VALUE"""),"V-4-481")</f>
        <v>V-4-481</v>
      </c>
      <c r="B171" t="str">
        <f ca="1">IFERROR(__xludf.DUMMYFUNCTION("""COMPUTED_VALUE"""),"Харичкина")</f>
        <v>Харичкина</v>
      </c>
      <c r="C171" t="str">
        <f ca="1">IFERROR(__xludf.DUMMYFUNCTION("""COMPUTED_VALUE"""),"Анастасия")</f>
        <v>Анастасия</v>
      </c>
      <c r="D171" t="str">
        <f ca="1">IFERROR(__xludf.DUMMYFUNCTION("""COMPUTED_VALUE"""),"Гимназия 157")</f>
        <v>Гимназия 157</v>
      </c>
      <c r="E171" s="5">
        <f ca="1">IFERROR(__xludf.DUMMYFUNCTION("""COMPUTED_VALUE"""),7)</f>
        <v>7</v>
      </c>
      <c r="F171" s="5">
        <f ca="1">IFERROR(__xludf.DUMMYFUNCTION("""COMPUTED_VALUE"""),3)</f>
        <v>3</v>
      </c>
      <c r="G171" s="5"/>
      <c r="H171" s="5"/>
      <c r="I171" s="5">
        <f ca="1">IFERROR(__xludf.DUMMYFUNCTION("""COMPUTED_VALUE"""),2)</f>
        <v>2</v>
      </c>
      <c r="J171" s="5"/>
      <c r="K171" s="5"/>
      <c r="L171" s="5"/>
      <c r="M171">
        <f ca="1">IFERROR(__xludf.DUMMYFUNCTION("""COMPUTED_VALUE"""),12)</f>
        <v>12</v>
      </c>
      <c r="N171" s="8"/>
    </row>
    <row r="172" spans="1:14" ht="12.45" hidden="1">
      <c r="A172" t="str">
        <f ca="1">IFERROR(__xludf.DUMMYFUNCTION("""COMPUTED_VALUE"""),"III-4-022")</f>
        <v>III-4-022</v>
      </c>
      <c r="B172" t="str">
        <f ca="1">IFERROR(__xludf.DUMMYFUNCTION("""COMPUTED_VALUE"""),"Бабушкин")</f>
        <v>Бабушкин</v>
      </c>
      <c r="C172" t="str">
        <f ca="1">IFERROR(__xludf.DUMMYFUNCTION("""COMPUTED_VALUE"""),"Глеб")</f>
        <v>Глеб</v>
      </c>
      <c r="D172" t="str">
        <f ca="1">IFERROR(__xludf.DUMMYFUNCTION("""COMPUTED_VALUE"""),"Лицей 470")</f>
        <v>Лицей 470</v>
      </c>
      <c r="E172" s="5">
        <f ca="1">IFERROR(__xludf.DUMMYFUNCTION("""COMPUTED_VALUE"""),2)</f>
        <v>2</v>
      </c>
      <c r="F172" s="5">
        <f ca="1">IFERROR(__xludf.DUMMYFUNCTION("""COMPUTED_VALUE"""),7)</f>
        <v>7</v>
      </c>
      <c r="G172" s="5"/>
      <c r="H172" s="5"/>
      <c r="I172" s="5">
        <f ca="1">IFERROR(__xludf.DUMMYFUNCTION("""COMPUTED_VALUE"""),2)</f>
        <v>2</v>
      </c>
      <c r="J172" s="5"/>
      <c r="K172" s="5"/>
      <c r="L172" s="5"/>
      <c r="M172">
        <f ca="1">IFERROR(__xludf.DUMMYFUNCTION("""COMPUTED_VALUE"""),11)</f>
        <v>11</v>
      </c>
      <c r="N172" s="8"/>
    </row>
    <row r="173" spans="1:14" ht="12.45" hidden="1">
      <c r="A173" t="str">
        <f ca="1">IFERROR(__xludf.DUMMYFUNCTION("""COMPUTED_VALUE"""),"III-4-026")</f>
        <v>III-4-026</v>
      </c>
      <c r="B173" t="str">
        <f ca="1">IFERROR(__xludf.DUMMYFUNCTION("""COMPUTED_VALUE"""),"Барабанова")</f>
        <v>Барабанова</v>
      </c>
      <c r="C173" t="str">
        <f ca="1">IFERROR(__xludf.DUMMYFUNCTION("""COMPUTED_VALUE"""),"Елизавета")</f>
        <v>Елизавета</v>
      </c>
      <c r="D173" t="str">
        <f ca="1">IFERROR(__xludf.DUMMYFUNCTION("""COMPUTED_VALUE"""),"Школа Квадривиум")</f>
        <v>Школа Квадривиум</v>
      </c>
      <c r="E173" s="5">
        <f ca="1">IFERROR(__xludf.DUMMYFUNCTION("""COMPUTED_VALUE"""),7)</f>
        <v>7</v>
      </c>
      <c r="F173" s="5">
        <f ca="1">IFERROR(__xludf.DUMMYFUNCTION("""COMPUTED_VALUE"""),3)</f>
        <v>3</v>
      </c>
      <c r="G173" s="5">
        <f ca="1">IFERROR(__xludf.DUMMYFUNCTION("""COMPUTED_VALUE"""),1)</f>
        <v>1</v>
      </c>
      <c r="H173" s="5"/>
      <c r="I173" s="5"/>
      <c r="J173" s="5"/>
      <c r="K173" s="5"/>
      <c r="L173" s="5"/>
      <c r="M173">
        <f ca="1">IFERROR(__xludf.DUMMYFUNCTION("""COMPUTED_VALUE"""),11)</f>
        <v>11</v>
      </c>
      <c r="N173" s="8"/>
    </row>
    <row r="174" spans="1:14" ht="12.45" hidden="1">
      <c r="A174" t="str">
        <f ca="1">IFERROR(__xludf.DUMMYFUNCTION("""COMPUTED_VALUE"""),"III-4-035")</f>
        <v>III-4-035</v>
      </c>
      <c r="B174" t="str">
        <f ca="1">IFERROR(__xludf.DUMMYFUNCTION("""COMPUTED_VALUE"""),"Белевцов")</f>
        <v>Белевцов</v>
      </c>
      <c r="C174" t="str">
        <f ca="1">IFERROR(__xludf.DUMMYFUNCTION("""COMPUTED_VALUE"""),"Егор")</f>
        <v>Егор</v>
      </c>
      <c r="D174" t="str">
        <f ca="1">IFERROR(__xludf.DUMMYFUNCTION("""COMPUTED_VALUE"""),"Школа 619")</f>
        <v>Школа 619</v>
      </c>
      <c r="E174" s="5">
        <f ca="1">IFERROR(__xludf.DUMMYFUNCTION("""COMPUTED_VALUE"""),7)</f>
        <v>7</v>
      </c>
      <c r="F174" s="5">
        <f ca="1">IFERROR(__xludf.DUMMYFUNCTION("""COMPUTED_VALUE"""),4)</f>
        <v>4</v>
      </c>
      <c r="G174" s="5"/>
      <c r="H174" s="5"/>
      <c r="I174" s="5"/>
      <c r="J174" s="5"/>
      <c r="K174" s="5"/>
      <c r="L174" s="5"/>
      <c r="M174">
        <f ca="1">IFERROR(__xludf.DUMMYFUNCTION("""COMPUTED_VALUE"""),11)</f>
        <v>11</v>
      </c>
      <c r="N174" s="8"/>
    </row>
    <row r="175" spans="1:14" ht="12.45" hidden="1">
      <c r="A175" t="str">
        <f ca="1">IFERROR(__xludf.DUMMYFUNCTION("""COMPUTED_VALUE"""),"III-4-037")</f>
        <v>III-4-037</v>
      </c>
      <c r="B175" t="str">
        <f ca="1">IFERROR(__xludf.DUMMYFUNCTION("""COMPUTED_VALUE"""),"Белоглазов")</f>
        <v>Белоглазов</v>
      </c>
      <c r="C175" t="str">
        <f ca="1">IFERROR(__xludf.DUMMYFUNCTION("""COMPUTED_VALUE"""),"Иван")</f>
        <v>Иван</v>
      </c>
      <c r="D175" t="str">
        <f ca="1">IFERROR(__xludf.DUMMYFUNCTION("""COMPUTED_VALUE"""),"Гимназия 157")</f>
        <v>Гимназия 157</v>
      </c>
      <c r="E175" s="5">
        <f ca="1">IFERROR(__xludf.DUMMYFUNCTION("""COMPUTED_VALUE"""),7)</f>
        <v>7</v>
      </c>
      <c r="F175" s="5"/>
      <c r="G175" s="5">
        <f ca="1">IFERROR(__xludf.DUMMYFUNCTION("""COMPUTED_VALUE"""),3)</f>
        <v>3</v>
      </c>
      <c r="H175" s="5"/>
      <c r="I175" s="5">
        <f ca="1">IFERROR(__xludf.DUMMYFUNCTION("""COMPUTED_VALUE"""),1)</f>
        <v>1</v>
      </c>
      <c r="J175" s="5"/>
      <c r="K175" s="5"/>
      <c r="L175" s="5"/>
      <c r="M175">
        <f ca="1">IFERROR(__xludf.DUMMYFUNCTION("""COMPUTED_VALUE"""),11)</f>
        <v>11</v>
      </c>
      <c r="N175" s="8"/>
    </row>
    <row r="176" spans="1:14" ht="12.45" hidden="1">
      <c r="A176" t="str">
        <f ca="1">IFERROR(__xludf.DUMMYFUNCTION("""COMPUTED_VALUE"""),"III-4-097")</f>
        <v>III-4-097</v>
      </c>
      <c r="B176" t="str">
        <f ca="1">IFERROR(__xludf.DUMMYFUNCTION("""COMPUTED_VALUE"""),"Воробьев")</f>
        <v>Воробьев</v>
      </c>
      <c r="C176" t="str">
        <f ca="1">IFERROR(__xludf.DUMMYFUNCTION("""COMPUTED_VALUE"""),"Рустам")</f>
        <v>Рустам</v>
      </c>
      <c r="D176" t="str">
        <f ca="1">IFERROR(__xludf.DUMMYFUNCTION("""COMPUTED_VALUE"""),"Гимназия 11")</f>
        <v>Гимназия 11</v>
      </c>
      <c r="E176" s="5">
        <f ca="1">IFERROR(__xludf.DUMMYFUNCTION("""COMPUTED_VALUE"""),7)</f>
        <v>7</v>
      </c>
      <c r="F176" s="5">
        <f ca="1">IFERROR(__xludf.DUMMYFUNCTION("""COMPUTED_VALUE"""),3)</f>
        <v>3</v>
      </c>
      <c r="G176" s="5"/>
      <c r="H176" s="5"/>
      <c r="I176" s="5">
        <f ca="1">IFERROR(__xludf.DUMMYFUNCTION("""COMPUTED_VALUE"""),1)</f>
        <v>1</v>
      </c>
      <c r="J176" s="5"/>
      <c r="K176" s="5"/>
      <c r="L176" s="5"/>
      <c r="M176">
        <f ca="1">IFERROR(__xludf.DUMMYFUNCTION("""COMPUTED_VALUE"""),11)</f>
        <v>11</v>
      </c>
      <c r="N176" s="8"/>
    </row>
    <row r="177" spans="1:14" ht="12.45" hidden="1">
      <c r="A177" t="str">
        <f ca="1">IFERROR(__xludf.DUMMYFUNCTION("""COMPUTED_VALUE"""),"III-4-118")</f>
        <v>III-4-118</v>
      </c>
      <c r="B177" t="str">
        <f ca="1">IFERROR(__xludf.DUMMYFUNCTION("""COMPUTED_VALUE"""),"Гербов")</f>
        <v>Гербов</v>
      </c>
      <c r="C177" t="str">
        <f ca="1">IFERROR(__xludf.DUMMYFUNCTION("""COMPUTED_VALUE"""),"Антон")</f>
        <v>Антон</v>
      </c>
      <c r="D177" t="str">
        <f ca="1">IFERROR(__xludf.DUMMYFUNCTION("""COMPUTED_VALUE"""),"Школа 619")</f>
        <v>Школа 619</v>
      </c>
      <c r="E177" s="5">
        <f ca="1">IFERROR(__xludf.DUMMYFUNCTION("""COMPUTED_VALUE"""),7)</f>
        <v>7</v>
      </c>
      <c r="F177" s="5">
        <f ca="1">IFERROR(__xludf.DUMMYFUNCTION("""COMPUTED_VALUE"""),3)</f>
        <v>3</v>
      </c>
      <c r="G177" s="5"/>
      <c r="H177" s="5"/>
      <c r="I177" s="5">
        <f ca="1">IFERROR(__xludf.DUMMYFUNCTION("""COMPUTED_VALUE"""),1)</f>
        <v>1</v>
      </c>
      <c r="J177" s="5"/>
      <c r="K177" s="5"/>
      <c r="L177" s="5"/>
      <c r="M177">
        <f ca="1">IFERROR(__xludf.DUMMYFUNCTION("""COMPUTED_VALUE"""),11)</f>
        <v>11</v>
      </c>
      <c r="N177" s="8"/>
    </row>
    <row r="178" spans="1:14" ht="12.45" hidden="1">
      <c r="A178" t="str">
        <f ca="1">IFERROR(__xludf.DUMMYFUNCTION("""COMPUTED_VALUE"""),"III-4-122")</f>
        <v>III-4-122</v>
      </c>
      <c r="B178" t="str">
        <f ca="1">IFERROR(__xludf.DUMMYFUNCTION("""COMPUTED_VALUE"""),"Глейх")</f>
        <v>Глейх</v>
      </c>
      <c r="C178" t="str">
        <f ca="1">IFERROR(__xludf.DUMMYFUNCTION("""COMPUTED_VALUE"""),"Сергей")</f>
        <v>Сергей</v>
      </c>
      <c r="D178" t="str">
        <f ca="1">IFERROR(__xludf.DUMMYFUNCTION("""COMPUTED_VALUE"""),"Гимназия 11")</f>
        <v>Гимназия 11</v>
      </c>
      <c r="E178" s="5">
        <f ca="1">IFERROR(__xludf.DUMMYFUNCTION("""COMPUTED_VALUE"""),7)</f>
        <v>7</v>
      </c>
      <c r="F178" s="5"/>
      <c r="G178" s="5">
        <f ca="1">IFERROR(__xludf.DUMMYFUNCTION("""COMPUTED_VALUE"""),2)</f>
        <v>2</v>
      </c>
      <c r="H178" s="5"/>
      <c r="I178" s="5">
        <f ca="1">IFERROR(__xludf.DUMMYFUNCTION("""COMPUTED_VALUE"""),2)</f>
        <v>2</v>
      </c>
      <c r="J178" s="5"/>
      <c r="K178" s="5"/>
      <c r="L178" s="5"/>
      <c r="M178">
        <f ca="1">IFERROR(__xludf.DUMMYFUNCTION("""COMPUTED_VALUE"""),11)</f>
        <v>11</v>
      </c>
      <c r="N178" s="8"/>
    </row>
    <row r="179" spans="1:14" ht="12.45" hidden="1">
      <c r="A179" t="str">
        <f ca="1">IFERROR(__xludf.DUMMYFUNCTION("""COMPUTED_VALUE"""),"III-4-146")</f>
        <v>III-4-146</v>
      </c>
      <c r="B179" t="str">
        <f ca="1">IFERROR(__xludf.DUMMYFUNCTION("""COMPUTED_VALUE"""),"Двоеглазова")</f>
        <v>Двоеглазова</v>
      </c>
      <c r="C179" t="str">
        <f ca="1">IFERROR(__xludf.DUMMYFUNCTION("""COMPUTED_VALUE"""),"Анастасия")</f>
        <v>Анастасия</v>
      </c>
      <c r="D179" t="str">
        <f ca="1">IFERROR(__xludf.DUMMYFUNCTION("""COMPUTED_VALUE"""),"Лицей 179")</f>
        <v>Лицей 179</v>
      </c>
      <c r="E179" s="5">
        <f ca="1">IFERROR(__xludf.DUMMYFUNCTION("""COMPUTED_VALUE"""),7)</f>
        <v>7</v>
      </c>
      <c r="F179" s="5">
        <f ca="1">IFERROR(__xludf.DUMMYFUNCTION("""COMPUTED_VALUE"""),2)</f>
        <v>2</v>
      </c>
      <c r="G179" s="5"/>
      <c r="H179" s="5"/>
      <c r="I179" s="5">
        <f ca="1">IFERROR(__xludf.DUMMYFUNCTION("""COMPUTED_VALUE"""),2)</f>
        <v>2</v>
      </c>
      <c r="J179" s="5"/>
      <c r="K179" s="5"/>
      <c r="L179" s="5"/>
      <c r="M179">
        <f ca="1">IFERROR(__xludf.DUMMYFUNCTION("""COMPUTED_VALUE"""),11)</f>
        <v>11</v>
      </c>
      <c r="N179" s="8"/>
    </row>
    <row r="180" spans="1:14" ht="12.45" hidden="1">
      <c r="A180" t="str">
        <f ca="1">IFERROR(__xludf.DUMMYFUNCTION("""COMPUTED_VALUE"""),"III-4-178")</f>
        <v>III-4-178</v>
      </c>
      <c r="B180" t="str">
        <f ca="1">IFERROR(__xludf.DUMMYFUNCTION("""COMPUTED_VALUE"""),"Журавлев")</f>
        <v>Журавлев</v>
      </c>
      <c r="C180" t="str">
        <f ca="1">IFERROR(__xludf.DUMMYFUNCTION("""COMPUTED_VALUE"""),"Александр")</f>
        <v>Александр</v>
      </c>
      <c r="D180" t="str">
        <f ca="1">IFERROR(__xludf.DUMMYFUNCTION("""COMPUTED_VALUE"""),"Гимназия 524")</f>
        <v>Гимназия 524</v>
      </c>
      <c r="E180" s="5">
        <f ca="1">IFERROR(__xludf.DUMMYFUNCTION("""COMPUTED_VALUE"""),7)</f>
        <v>7</v>
      </c>
      <c r="F180" s="5">
        <f ca="1">IFERROR(__xludf.DUMMYFUNCTION("""COMPUTED_VALUE"""),3)</f>
        <v>3</v>
      </c>
      <c r="G180" s="5">
        <f ca="1">IFERROR(__xludf.DUMMYFUNCTION("""COMPUTED_VALUE"""),1)</f>
        <v>1</v>
      </c>
      <c r="H180" s="5"/>
      <c r="I180" s="5"/>
      <c r="J180" s="5"/>
      <c r="K180" s="5"/>
      <c r="L180" s="5"/>
      <c r="M180">
        <f ca="1">IFERROR(__xludf.DUMMYFUNCTION("""COMPUTED_VALUE"""),11)</f>
        <v>11</v>
      </c>
      <c r="N180" s="8"/>
    </row>
    <row r="181" spans="1:14" ht="12.45" hidden="1">
      <c r="A181" t="str">
        <f ca="1">IFERROR(__xludf.DUMMYFUNCTION("""COMPUTED_VALUE"""),"III-4-207")</f>
        <v>III-4-207</v>
      </c>
      <c r="B181" t="str">
        <f ca="1">IFERROR(__xludf.DUMMYFUNCTION("""COMPUTED_VALUE"""),"Калиянц")</f>
        <v>Калиянц</v>
      </c>
      <c r="C181" t="str">
        <f ca="1">IFERROR(__xludf.DUMMYFUNCTION("""COMPUTED_VALUE"""),"Никита")</f>
        <v>Никита</v>
      </c>
      <c r="D181" t="str">
        <f ca="1">IFERROR(__xludf.DUMMYFUNCTION("""COMPUTED_VALUE"""),"Лицей 64")</f>
        <v>Лицей 64</v>
      </c>
      <c r="E181" s="5">
        <f ca="1">IFERROR(__xludf.DUMMYFUNCTION("""COMPUTED_VALUE"""),7)</f>
        <v>7</v>
      </c>
      <c r="F181" s="5">
        <f ca="1">IFERROR(__xludf.DUMMYFUNCTION("""COMPUTED_VALUE"""),3)</f>
        <v>3</v>
      </c>
      <c r="G181" s="5">
        <f ca="1">IFERROR(__xludf.DUMMYFUNCTION("""COMPUTED_VALUE"""),0)</f>
        <v>0</v>
      </c>
      <c r="H181" s="5">
        <f ca="1">IFERROR(__xludf.DUMMYFUNCTION("""COMPUTED_VALUE"""),0)</f>
        <v>0</v>
      </c>
      <c r="I181" s="5">
        <f ca="1">IFERROR(__xludf.DUMMYFUNCTION("""COMPUTED_VALUE"""),1)</f>
        <v>1</v>
      </c>
      <c r="J181" s="5"/>
      <c r="K181" s="5">
        <f ca="1">IFERROR(__xludf.DUMMYFUNCTION("""COMPUTED_VALUE"""),0)</f>
        <v>0</v>
      </c>
      <c r="L181" s="5">
        <f ca="1">IFERROR(__xludf.DUMMYFUNCTION("""COMPUTED_VALUE"""),0)</f>
        <v>0</v>
      </c>
      <c r="M181">
        <f ca="1">IFERROR(__xludf.DUMMYFUNCTION("""COMPUTED_VALUE"""),11)</f>
        <v>11</v>
      </c>
      <c r="N181" s="8"/>
    </row>
    <row r="182" spans="1:14" ht="12.45" hidden="1">
      <c r="A182" t="str">
        <f ca="1">IFERROR(__xludf.DUMMYFUNCTION("""COMPUTED_VALUE"""),"V-4-299")</f>
        <v>V-4-299</v>
      </c>
      <c r="B182" t="str">
        <f ca="1">IFERROR(__xludf.DUMMYFUNCTION("""COMPUTED_VALUE"""),"Мишин")</f>
        <v>Мишин</v>
      </c>
      <c r="C182" t="str">
        <f ca="1">IFERROR(__xludf.DUMMYFUNCTION("""COMPUTED_VALUE"""),"Тимофей")</f>
        <v>Тимофей</v>
      </c>
      <c r="D182" t="str">
        <f ca="1">IFERROR(__xludf.DUMMYFUNCTION("""COMPUTED_VALUE"""),"Школа 365")</f>
        <v>Школа 365</v>
      </c>
      <c r="E182" s="5">
        <f ca="1">IFERROR(__xludf.DUMMYFUNCTION("""COMPUTED_VALUE"""),2)</f>
        <v>2</v>
      </c>
      <c r="F182" s="5"/>
      <c r="G182" s="5">
        <f ca="1">IFERROR(__xludf.DUMMYFUNCTION("""COMPUTED_VALUE"""),4)</f>
        <v>4</v>
      </c>
      <c r="H182" s="5"/>
      <c r="I182" s="5">
        <f ca="1">IFERROR(__xludf.DUMMYFUNCTION("""COMPUTED_VALUE"""),4)</f>
        <v>4</v>
      </c>
      <c r="J182" s="5"/>
      <c r="K182" s="5">
        <f ca="1">IFERROR(__xludf.DUMMYFUNCTION("""COMPUTED_VALUE"""),1)</f>
        <v>1</v>
      </c>
      <c r="L182" s="5"/>
      <c r="M182">
        <f ca="1">IFERROR(__xludf.DUMMYFUNCTION("""COMPUTED_VALUE"""),11)</f>
        <v>11</v>
      </c>
      <c r="N182" s="8"/>
    </row>
    <row r="183" spans="1:14" ht="12.45" hidden="1">
      <c r="A183" t="str">
        <f ca="1">IFERROR(__xludf.DUMMYFUNCTION("""COMPUTED_VALUE"""),"V-4-313")</f>
        <v>V-4-313</v>
      </c>
      <c r="B183" t="str">
        <f ca="1">IFERROR(__xludf.DUMMYFUNCTION("""COMPUTED_VALUE"""),"Назарова")</f>
        <v>Назарова</v>
      </c>
      <c r="C183" t="str">
        <f ca="1">IFERROR(__xludf.DUMMYFUNCTION("""COMPUTED_VALUE"""),"Елизавета")</f>
        <v>Елизавета</v>
      </c>
      <c r="D183" t="str">
        <f ca="1">IFERROR(__xludf.DUMMYFUNCTION("""COMPUTED_VALUE"""),"Школа 300")</f>
        <v>Школа 300</v>
      </c>
      <c r="E183" s="5">
        <f ca="1">IFERROR(__xludf.DUMMYFUNCTION("""COMPUTED_VALUE"""),7)</f>
        <v>7</v>
      </c>
      <c r="F183" s="5"/>
      <c r="G183" s="5">
        <f ca="1">IFERROR(__xludf.DUMMYFUNCTION("""COMPUTED_VALUE"""),4)</f>
        <v>4</v>
      </c>
      <c r="H183" s="5"/>
      <c r="I183" s="5"/>
      <c r="J183" s="5"/>
      <c r="K183" s="5"/>
      <c r="L183" s="5"/>
      <c r="M183">
        <f ca="1">IFERROR(__xludf.DUMMYFUNCTION("""COMPUTED_VALUE"""),11)</f>
        <v>11</v>
      </c>
      <c r="N183" s="8"/>
    </row>
    <row r="184" spans="1:14" ht="12.45" hidden="1">
      <c r="A184" t="str">
        <f ca="1">IFERROR(__xludf.DUMMYFUNCTION("""COMPUTED_VALUE"""),"V-4-364")</f>
        <v>V-4-364</v>
      </c>
      <c r="B184" t="str">
        <f ca="1">IFERROR(__xludf.DUMMYFUNCTION("""COMPUTED_VALUE"""),"Пономарев")</f>
        <v>Пономарев</v>
      </c>
      <c r="C184" t="str">
        <f ca="1">IFERROR(__xludf.DUMMYFUNCTION("""COMPUTED_VALUE"""),"Даниил")</f>
        <v>Даниил</v>
      </c>
      <c r="D184" t="str">
        <f ca="1">IFERROR(__xludf.DUMMYFUNCTION("""COMPUTED_VALUE"""),"Лицей 384")</f>
        <v>Лицей 384</v>
      </c>
      <c r="E184" s="5">
        <f ca="1">IFERROR(__xludf.DUMMYFUNCTION("""COMPUTED_VALUE"""),7)</f>
        <v>7</v>
      </c>
      <c r="F184" s="5">
        <f ca="1">IFERROR(__xludf.DUMMYFUNCTION("""COMPUTED_VALUE"""),4)</f>
        <v>4</v>
      </c>
      <c r="G184" s="5"/>
      <c r="H184" s="5"/>
      <c r="I184" s="5"/>
      <c r="J184" s="5"/>
      <c r="K184" s="5"/>
      <c r="L184" s="5"/>
      <c r="M184">
        <f ca="1">IFERROR(__xludf.DUMMYFUNCTION("""COMPUTED_VALUE"""),11)</f>
        <v>11</v>
      </c>
      <c r="N184" s="8"/>
    </row>
    <row r="185" spans="1:14" ht="12.45" hidden="1">
      <c r="A185" t="str">
        <f ca="1">IFERROR(__xludf.DUMMYFUNCTION("""COMPUTED_VALUE"""),"V-4-377")</f>
        <v>V-4-377</v>
      </c>
      <c r="B185" t="str">
        <f ca="1">IFERROR(__xludf.DUMMYFUNCTION("""COMPUTED_VALUE"""),"Пушков")</f>
        <v>Пушков</v>
      </c>
      <c r="C185" t="str">
        <f ca="1">IFERROR(__xludf.DUMMYFUNCTION("""COMPUTED_VALUE"""),"Степан")</f>
        <v>Степан</v>
      </c>
      <c r="D185" t="str">
        <f ca="1">IFERROR(__xludf.DUMMYFUNCTION("""COMPUTED_VALUE"""),"Лицей 419")</f>
        <v>Лицей 419</v>
      </c>
      <c r="E185" s="5">
        <f ca="1">IFERROR(__xludf.DUMMYFUNCTION("""COMPUTED_VALUE"""),7)</f>
        <v>7</v>
      </c>
      <c r="F185" s="5">
        <f ca="1">IFERROR(__xludf.DUMMYFUNCTION("""COMPUTED_VALUE"""),3)</f>
        <v>3</v>
      </c>
      <c r="G185" s="5">
        <f ca="1">IFERROR(__xludf.DUMMYFUNCTION("""COMPUTED_VALUE"""),1)</f>
        <v>1</v>
      </c>
      <c r="H185" s="5"/>
      <c r="I185" s="5"/>
      <c r="J185" s="5"/>
      <c r="K185" s="5"/>
      <c r="L185" s="5"/>
      <c r="M185">
        <f ca="1">IFERROR(__xludf.DUMMYFUNCTION("""COMPUTED_VALUE"""),11)</f>
        <v>11</v>
      </c>
      <c r="N185" s="8"/>
    </row>
    <row r="186" spans="1:14" ht="12.45" hidden="1">
      <c r="A186" t="str">
        <f ca="1">IFERROR(__xludf.DUMMYFUNCTION("""COMPUTED_VALUE"""),"V-4-386")</f>
        <v>V-4-386</v>
      </c>
      <c r="B186" t="str">
        <f ca="1">IFERROR(__xludf.DUMMYFUNCTION("""COMPUTED_VALUE"""),"Решетов")</f>
        <v>Решетов</v>
      </c>
      <c r="C186" t="str">
        <f ca="1">IFERROR(__xludf.DUMMYFUNCTION("""COMPUTED_VALUE"""),"Виктор")</f>
        <v>Виктор</v>
      </c>
      <c r="D186" t="str">
        <f ca="1">IFERROR(__xludf.DUMMYFUNCTION("""COMPUTED_VALUE"""),"Гимназия 642")</f>
        <v>Гимназия 642</v>
      </c>
      <c r="E186" s="5">
        <f ca="1">IFERROR(__xludf.DUMMYFUNCTION("""COMPUTED_VALUE"""),7)</f>
        <v>7</v>
      </c>
      <c r="F186" s="5">
        <f ca="1">IFERROR(__xludf.DUMMYFUNCTION("""COMPUTED_VALUE"""),4)</f>
        <v>4</v>
      </c>
      <c r="G186" s="5"/>
      <c r="H186" s="5"/>
      <c r="I186" s="5"/>
      <c r="J186" s="5"/>
      <c r="K186" s="5"/>
      <c r="L186" s="5"/>
      <c r="M186">
        <f ca="1">IFERROR(__xludf.DUMMYFUNCTION("""COMPUTED_VALUE"""),11)</f>
        <v>11</v>
      </c>
      <c r="N186" s="8"/>
    </row>
    <row r="187" spans="1:14" ht="12.45" hidden="1">
      <c r="A187" t="str">
        <f ca="1">IFERROR(__xludf.DUMMYFUNCTION("""COMPUTED_VALUE"""),"V-4-406")</f>
        <v>V-4-406</v>
      </c>
      <c r="B187" t="str">
        <f ca="1">IFERROR(__xludf.DUMMYFUNCTION("""COMPUTED_VALUE"""),"Саврей")</f>
        <v>Саврей</v>
      </c>
      <c r="C187" t="str">
        <f ca="1">IFERROR(__xludf.DUMMYFUNCTION("""COMPUTED_VALUE"""),"Анжелика")</f>
        <v>Анжелика</v>
      </c>
      <c r="D187" t="str">
        <f ca="1">IFERROR(__xludf.DUMMYFUNCTION("""COMPUTED_VALUE"""),"Гимназия 41")</f>
        <v>Гимназия 41</v>
      </c>
      <c r="E187" s="5">
        <f ca="1">IFERROR(__xludf.DUMMYFUNCTION("""COMPUTED_VALUE"""),2)</f>
        <v>2</v>
      </c>
      <c r="F187" s="5">
        <f ca="1">IFERROR(__xludf.DUMMYFUNCTION("""COMPUTED_VALUE"""),4)</f>
        <v>4</v>
      </c>
      <c r="G187" s="5">
        <f ca="1">IFERROR(__xludf.DUMMYFUNCTION("""COMPUTED_VALUE"""),2)</f>
        <v>2</v>
      </c>
      <c r="H187" s="5"/>
      <c r="I187" s="5">
        <f ca="1">IFERROR(__xludf.DUMMYFUNCTION("""COMPUTED_VALUE"""),3)</f>
        <v>3</v>
      </c>
      <c r="J187" s="5"/>
      <c r="K187" s="5"/>
      <c r="L187" s="5"/>
      <c r="M187">
        <f ca="1">IFERROR(__xludf.DUMMYFUNCTION("""COMPUTED_VALUE"""),11)</f>
        <v>11</v>
      </c>
      <c r="N187" s="8"/>
    </row>
    <row r="188" spans="1:14" ht="12.45" hidden="1">
      <c r="A188" t="str">
        <f ca="1">IFERROR(__xludf.DUMMYFUNCTION("""COMPUTED_VALUE"""),"V-4-428")</f>
        <v>V-4-428</v>
      </c>
      <c r="B188" t="str">
        <f ca="1">IFERROR(__xludf.DUMMYFUNCTION("""COMPUTED_VALUE"""),"Смирнова")</f>
        <v>Смирнова</v>
      </c>
      <c r="C188" t="str">
        <f ca="1">IFERROR(__xludf.DUMMYFUNCTION("""COMPUTED_VALUE"""),"Анастасия")</f>
        <v>Анастасия</v>
      </c>
      <c r="D188" t="str">
        <f ca="1">IFERROR(__xludf.DUMMYFUNCTION("""COMPUTED_VALUE"""),"Гимназия 642")</f>
        <v>Гимназия 642</v>
      </c>
      <c r="E188" s="5">
        <f ca="1">IFERROR(__xludf.DUMMYFUNCTION("""COMPUTED_VALUE"""),7)</f>
        <v>7</v>
      </c>
      <c r="F188" s="5">
        <f ca="1">IFERROR(__xludf.DUMMYFUNCTION("""COMPUTED_VALUE"""),4)</f>
        <v>4</v>
      </c>
      <c r="G188" s="5"/>
      <c r="H188" s="5"/>
      <c r="I188" s="5"/>
      <c r="J188" s="5"/>
      <c r="K188" s="5"/>
      <c r="L188" s="5"/>
      <c r="M188">
        <f ca="1">IFERROR(__xludf.DUMMYFUNCTION("""COMPUTED_VALUE"""),11)</f>
        <v>11</v>
      </c>
      <c r="N188" s="8"/>
    </row>
    <row r="189" spans="1:14" ht="12.45" hidden="1">
      <c r="A189" t="str">
        <f ca="1">IFERROR(__xludf.DUMMYFUNCTION("""COMPUTED_VALUE"""),"V-4-487")</f>
        <v>V-4-487</v>
      </c>
      <c r="B189" t="str">
        <f ca="1">IFERROR(__xludf.DUMMYFUNCTION("""COMPUTED_VALUE"""),"Черезов")</f>
        <v>Черезов</v>
      </c>
      <c r="C189" t="str">
        <f ca="1">IFERROR(__xludf.DUMMYFUNCTION("""COMPUTED_VALUE"""),"Александр")</f>
        <v>Александр</v>
      </c>
      <c r="D189" t="str">
        <f ca="1">IFERROR(__xludf.DUMMYFUNCTION("""COMPUTED_VALUE"""),"Лицей 41")</f>
        <v>Лицей 41</v>
      </c>
      <c r="E189" s="5">
        <f ca="1">IFERROR(__xludf.DUMMYFUNCTION("""COMPUTED_VALUE"""),7)</f>
        <v>7</v>
      </c>
      <c r="F189" s="5">
        <f ca="1">IFERROR(__xludf.DUMMYFUNCTION("""COMPUTED_VALUE"""),4)</f>
        <v>4</v>
      </c>
      <c r="G189" s="5"/>
      <c r="H189" s="5"/>
      <c r="I189" s="5"/>
      <c r="J189" s="5"/>
      <c r="K189" s="5"/>
      <c r="L189" s="5"/>
      <c r="M189">
        <f ca="1">IFERROR(__xludf.DUMMYFUNCTION("""COMPUTED_VALUE"""),11)</f>
        <v>11</v>
      </c>
      <c r="N189" s="8"/>
    </row>
    <row r="190" spans="1:14" ht="12.45" hidden="1">
      <c r="A190" t="str">
        <f ca="1">IFERROR(__xludf.DUMMYFUNCTION("""COMPUTED_VALUE"""),"III-4-018")</f>
        <v>III-4-018</v>
      </c>
      <c r="B190" t="str">
        <f ca="1">IFERROR(__xludf.DUMMYFUNCTION("""COMPUTED_VALUE"""),"Арсеньев")</f>
        <v>Арсеньев</v>
      </c>
      <c r="C190" t="str">
        <f ca="1">IFERROR(__xludf.DUMMYFUNCTION("""COMPUTED_VALUE"""),"Станислав")</f>
        <v>Станислав</v>
      </c>
      <c r="D190" t="str">
        <f ca="1">IFERROR(__xludf.DUMMYFUNCTION("""COMPUTED_VALUE"""),"Школа 641")</f>
        <v>Школа 641</v>
      </c>
      <c r="E190" s="5">
        <f ca="1">IFERROR(__xludf.DUMMYFUNCTION("""COMPUTED_VALUE"""),7)</f>
        <v>7</v>
      </c>
      <c r="F190" s="5">
        <f ca="1">IFERROR(__xludf.DUMMYFUNCTION("""COMPUTED_VALUE"""),3)</f>
        <v>3</v>
      </c>
      <c r="G190" s="5"/>
      <c r="H190" s="5"/>
      <c r="I190" s="5"/>
      <c r="J190" s="5"/>
      <c r="K190" s="5"/>
      <c r="L190" s="5"/>
      <c r="M190">
        <f ca="1">IFERROR(__xludf.DUMMYFUNCTION("""COMPUTED_VALUE"""),10)</f>
        <v>10</v>
      </c>
      <c r="N190" s="8"/>
    </row>
    <row r="191" spans="1:14" ht="12.45" hidden="1">
      <c r="A191" t="str">
        <f ca="1">IFERROR(__xludf.DUMMYFUNCTION("""COMPUTED_VALUE"""),"III-4-032")</f>
        <v>III-4-032</v>
      </c>
      <c r="B191" t="str">
        <f ca="1">IFERROR(__xludf.DUMMYFUNCTION("""COMPUTED_VALUE"""),"Барышев")</f>
        <v>Барышев</v>
      </c>
      <c r="C191" t="str">
        <f ca="1">IFERROR(__xludf.DUMMYFUNCTION("""COMPUTED_VALUE"""),"Сергей")</f>
        <v>Сергей</v>
      </c>
      <c r="D191" t="str">
        <f ca="1">IFERROR(__xludf.DUMMYFUNCTION("""COMPUTED_VALUE"""),"Гимназия 652")</f>
        <v>Гимназия 652</v>
      </c>
      <c r="E191" s="5">
        <f ca="1">IFERROR(__xludf.DUMMYFUNCTION("""COMPUTED_VALUE"""),7)</f>
        <v>7</v>
      </c>
      <c r="F191" s="5">
        <f ca="1">IFERROR(__xludf.DUMMYFUNCTION("""COMPUTED_VALUE"""),3)</f>
        <v>3</v>
      </c>
      <c r="G191" s="5"/>
      <c r="H191" s="5"/>
      <c r="I191" s="5"/>
      <c r="J191" s="5"/>
      <c r="K191" s="5"/>
      <c r="L191" s="5"/>
      <c r="M191">
        <f ca="1">IFERROR(__xludf.DUMMYFUNCTION("""COMPUTED_VALUE"""),10)</f>
        <v>10</v>
      </c>
      <c r="N191" s="8"/>
    </row>
    <row r="192" spans="1:14" ht="12.45" hidden="1">
      <c r="A192" t="str">
        <f ca="1">IFERROR(__xludf.DUMMYFUNCTION("""COMPUTED_VALUE"""),"III-4-046")</f>
        <v>III-4-046</v>
      </c>
      <c r="B192" t="str">
        <f ca="1">IFERROR(__xludf.DUMMYFUNCTION("""COMPUTED_VALUE"""),"Бессонова")</f>
        <v>Бессонова</v>
      </c>
      <c r="C192" t="str">
        <f ca="1">IFERROR(__xludf.DUMMYFUNCTION("""COMPUTED_VALUE"""),"Софья")</f>
        <v>Софья</v>
      </c>
      <c r="D192" t="str">
        <f ca="1">IFERROR(__xludf.DUMMYFUNCTION("""COMPUTED_VALUE"""),"Лицей 470")</f>
        <v>Лицей 470</v>
      </c>
      <c r="E192" s="5">
        <f ca="1">IFERROR(__xludf.DUMMYFUNCTION("""COMPUTED_VALUE"""),7)</f>
        <v>7</v>
      </c>
      <c r="F192" s="5">
        <f ca="1">IFERROR(__xludf.DUMMYFUNCTION("""COMPUTED_VALUE"""),3)</f>
        <v>3</v>
      </c>
      <c r="G192" s="5"/>
      <c r="H192" s="5"/>
      <c r="I192" s="5"/>
      <c r="J192" s="5"/>
      <c r="K192" s="5"/>
      <c r="L192" s="5"/>
      <c r="M192">
        <f ca="1">IFERROR(__xludf.DUMMYFUNCTION("""COMPUTED_VALUE"""),10)</f>
        <v>10</v>
      </c>
      <c r="N192" s="8"/>
    </row>
    <row r="193" spans="1:14" ht="12.45" hidden="1">
      <c r="A193" t="str">
        <f ca="1">IFERROR(__xludf.DUMMYFUNCTION("""COMPUTED_VALUE"""),"III-4-052")</f>
        <v>III-4-052</v>
      </c>
      <c r="B193" t="str">
        <f ca="1">IFERROR(__xludf.DUMMYFUNCTION("""COMPUTED_VALUE"""),"Бодрых")</f>
        <v>Бодрых</v>
      </c>
      <c r="C193" t="str">
        <f ca="1">IFERROR(__xludf.DUMMYFUNCTION("""COMPUTED_VALUE"""),"Дарья")</f>
        <v>Дарья</v>
      </c>
      <c r="D193" t="str">
        <f ca="1">IFERROR(__xludf.DUMMYFUNCTION("""COMPUTED_VALUE"""),"Школа 43")</f>
        <v>Школа 43</v>
      </c>
      <c r="E193" s="5">
        <f ca="1">IFERROR(__xludf.DUMMYFUNCTION("""COMPUTED_VALUE"""),7)</f>
        <v>7</v>
      </c>
      <c r="F193" s="5">
        <f ca="1">IFERROR(__xludf.DUMMYFUNCTION("""COMPUTED_VALUE"""),3)</f>
        <v>3</v>
      </c>
      <c r="G193" s="5"/>
      <c r="H193" s="5"/>
      <c r="I193" s="5"/>
      <c r="J193" s="5"/>
      <c r="K193" s="5"/>
      <c r="L193" s="5"/>
      <c r="M193">
        <f ca="1">IFERROR(__xludf.DUMMYFUNCTION("""COMPUTED_VALUE"""),10)</f>
        <v>10</v>
      </c>
      <c r="N193" s="8"/>
    </row>
    <row r="194" spans="1:14" ht="12.45" hidden="1">
      <c r="A194" t="str">
        <f ca="1">IFERROR(__xludf.DUMMYFUNCTION("""COMPUTED_VALUE"""),"III-4-061")</f>
        <v>III-4-061</v>
      </c>
      <c r="B194" t="str">
        <f ca="1">IFERROR(__xludf.DUMMYFUNCTION("""COMPUTED_VALUE"""),"Бондаренко")</f>
        <v>Бондаренко</v>
      </c>
      <c r="C194" t="str">
        <f ca="1">IFERROR(__xludf.DUMMYFUNCTION("""COMPUTED_VALUE"""),"Тимофей")</f>
        <v>Тимофей</v>
      </c>
      <c r="D194" t="str">
        <f ca="1">IFERROR(__xludf.DUMMYFUNCTION("""COMPUTED_VALUE"""),"Гимназия 63")</f>
        <v>Гимназия 63</v>
      </c>
      <c r="E194" s="5">
        <f ca="1">IFERROR(__xludf.DUMMYFUNCTION("""COMPUTED_VALUE"""),7)</f>
        <v>7</v>
      </c>
      <c r="F194" s="5">
        <f ca="1">IFERROR(__xludf.DUMMYFUNCTION("""COMPUTED_VALUE"""),3)</f>
        <v>3</v>
      </c>
      <c r="G194" s="5"/>
      <c r="H194" s="5"/>
      <c r="I194" s="5"/>
      <c r="J194" s="5"/>
      <c r="K194" s="5"/>
      <c r="L194" s="5"/>
      <c r="M194">
        <f ca="1">IFERROR(__xludf.DUMMYFUNCTION("""COMPUTED_VALUE"""),10)</f>
        <v>10</v>
      </c>
      <c r="N194" s="8"/>
    </row>
    <row r="195" spans="1:14" ht="12.45" hidden="1">
      <c r="A195" t="str">
        <f ca="1">IFERROR(__xludf.DUMMYFUNCTION("""COMPUTED_VALUE"""),"III-4-060")</f>
        <v>III-4-060</v>
      </c>
      <c r="B195" t="str">
        <f ca="1">IFERROR(__xludf.DUMMYFUNCTION("""COMPUTED_VALUE"""),"Бондаренко")</f>
        <v>Бондаренко</v>
      </c>
      <c r="C195" t="str">
        <f ca="1">IFERROR(__xludf.DUMMYFUNCTION("""COMPUTED_VALUE"""),"Глеб")</f>
        <v>Глеб</v>
      </c>
      <c r="D195" t="str">
        <f ca="1">IFERROR(__xludf.DUMMYFUNCTION("""COMPUTED_VALUE"""),"Школа 45")</f>
        <v>Школа 45</v>
      </c>
      <c r="E195" s="5">
        <f ca="1">IFERROR(__xludf.DUMMYFUNCTION("""COMPUTED_VALUE"""),2)</f>
        <v>2</v>
      </c>
      <c r="F195" s="5">
        <f ca="1">IFERROR(__xludf.DUMMYFUNCTION("""COMPUTED_VALUE"""),5)</f>
        <v>5</v>
      </c>
      <c r="G195" s="5">
        <f ca="1">IFERROR(__xludf.DUMMYFUNCTION("""COMPUTED_VALUE"""),3)</f>
        <v>3</v>
      </c>
      <c r="H195" s="5"/>
      <c r="I195" s="5"/>
      <c r="J195" s="5"/>
      <c r="K195" s="5"/>
      <c r="L195" s="5"/>
      <c r="M195">
        <f ca="1">IFERROR(__xludf.DUMMYFUNCTION("""COMPUTED_VALUE"""),10)</f>
        <v>10</v>
      </c>
      <c r="N195" s="8"/>
    </row>
    <row r="196" spans="1:14" ht="12.45" hidden="1">
      <c r="A196" t="str">
        <f ca="1">IFERROR(__xludf.DUMMYFUNCTION("""COMPUTED_VALUE"""),"III-4-062")</f>
        <v>III-4-062</v>
      </c>
      <c r="B196" t="str">
        <f ca="1">IFERROR(__xludf.DUMMYFUNCTION("""COMPUTED_VALUE"""),"Борисова")</f>
        <v>Борисова</v>
      </c>
      <c r="C196" t="str">
        <f ca="1">IFERROR(__xludf.DUMMYFUNCTION("""COMPUTED_VALUE"""),"Вероника")</f>
        <v>Вероника</v>
      </c>
      <c r="D196" t="str">
        <f ca="1">IFERROR(__xludf.DUMMYFUNCTION("""COMPUTED_VALUE"""),"Школа 619")</f>
        <v>Школа 619</v>
      </c>
      <c r="E196" s="5">
        <f ca="1">IFERROR(__xludf.DUMMYFUNCTION("""COMPUTED_VALUE"""),7)</f>
        <v>7</v>
      </c>
      <c r="F196" s="5">
        <f ca="1">IFERROR(__xludf.DUMMYFUNCTION("""COMPUTED_VALUE"""),3)</f>
        <v>3</v>
      </c>
      <c r="G196" s="5"/>
      <c r="H196" s="5"/>
      <c r="I196" s="5"/>
      <c r="J196" s="5"/>
      <c r="K196" s="5"/>
      <c r="L196" s="5"/>
      <c r="M196">
        <f ca="1">IFERROR(__xludf.DUMMYFUNCTION("""COMPUTED_VALUE"""),10)</f>
        <v>10</v>
      </c>
      <c r="N196" s="8"/>
    </row>
    <row r="197" spans="1:14" ht="12.45" hidden="1">
      <c r="A197" t="str">
        <f ca="1">IFERROR(__xludf.DUMMYFUNCTION("""COMPUTED_VALUE"""),"III-4-065")</f>
        <v>III-4-065</v>
      </c>
      <c r="B197" t="str">
        <f ca="1">IFERROR(__xludf.DUMMYFUNCTION("""COMPUTED_VALUE"""),"Борцов")</f>
        <v>Борцов</v>
      </c>
      <c r="C197" t="str">
        <f ca="1">IFERROR(__xludf.DUMMYFUNCTION("""COMPUTED_VALUE"""),"Михаил")</f>
        <v>Михаил</v>
      </c>
      <c r="D197" t="str">
        <f ca="1">IFERROR(__xludf.DUMMYFUNCTION("""COMPUTED_VALUE"""),"Школа ГБОУ НОШ №300")</f>
        <v>Школа ГБОУ НОШ №300</v>
      </c>
      <c r="E197" s="5">
        <f ca="1">IFERROR(__xludf.DUMMYFUNCTION("""COMPUTED_VALUE"""),2)</f>
        <v>2</v>
      </c>
      <c r="F197" s="5">
        <f ca="1">IFERROR(__xludf.DUMMYFUNCTION("""COMPUTED_VALUE"""),7)</f>
        <v>7</v>
      </c>
      <c r="G197" s="5"/>
      <c r="H197" s="5"/>
      <c r="I197" s="5">
        <f ca="1">IFERROR(__xludf.DUMMYFUNCTION("""COMPUTED_VALUE"""),1)</f>
        <v>1</v>
      </c>
      <c r="J197" s="5"/>
      <c r="K197" s="5"/>
      <c r="L197" s="5"/>
      <c r="M197">
        <f ca="1">IFERROR(__xludf.DUMMYFUNCTION("""COMPUTED_VALUE"""),10)</f>
        <v>10</v>
      </c>
      <c r="N197" s="8"/>
    </row>
    <row r="198" spans="1:14" ht="12.45">
      <c r="A198" t="str">
        <f ca="1">IFERROR(__xludf.DUMMYFUNCTION("""COMPUTED_VALUE"""),"III-4-071")</f>
        <v>III-4-071</v>
      </c>
      <c r="B198" t="str">
        <f ca="1">IFERROR(__xludf.DUMMYFUNCTION("""COMPUTED_VALUE"""),"Будаев")</f>
        <v>Будаев</v>
      </c>
      <c r="C198" t="str">
        <f ca="1">IFERROR(__xludf.DUMMYFUNCTION("""COMPUTED_VALUE"""),"Тимур")</f>
        <v>Тимур</v>
      </c>
      <c r="D198" t="str">
        <f ca="1">IFERROR(__xludf.DUMMYFUNCTION("""COMPUTED_VALUE"""),"Гимназия 3")</f>
        <v>Гимназия 3</v>
      </c>
      <c r="E198" s="5">
        <f ca="1">IFERROR(__xludf.DUMMYFUNCTION("""COMPUTED_VALUE"""),7)</f>
        <v>7</v>
      </c>
      <c r="F198" s="5">
        <f ca="1">IFERROR(__xludf.DUMMYFUNCTION("""COMPUTED_VALUE"""),3)</f>
        <v>3</v>
      </c>
      <c r="G198" s="5"/>
      <c r="H198" s="5"/>
      <c r="I198" s="5"/>
      <c r="J198" s="5"/>
      <c r="K198" s="5"/>
      <c r="L198" s="5"/>
      <c r="M198">
        <f ca="1">IFERROR(__xludf.DUMMYFUNCTION("""COMPUTED_VALUE"""),10)</f>
        <v>10</v>
      </c>
      <c r="N198" s="8"/>
    </row>
    <row r="199" spans="1:14" ht="12.45" hidden="1">
      <c r="A199" t="str">
        <f ca="1">IFERROR(__xludf.DUMMYFUNCTION("""COMPUTED_VALUE"""),"III-4-077")</f>
        <v>III-4-077</v>
      </c>
      <c r="B199" t="str">
        <f ca="1">IFERROR(__xludf.DUMMYFUNCTION("""COMPUTED_VALUE"""),"Быков")</f>
        <v>Быков</v>
      </c>
      <c r="C199" t="str">
        <f ca="1">IFERROR(__xludf.DUMMYFUNCTION("""COMPUTED_VALUE"""),"Иван")</f>
        <v>Иван</v>
      </c>
      <c r="D199" t="str">
        <f ca="1">IFERROR(__xludf.DUMMYFUNCTION("""COMPUTED_VALUE"""),"Лицей 101")</f>
        <v>Лицей 101</v>
      </c>
      <c r="E199" s="5">
        <f ca="1">IFERROR(__xludf.DUMMYFUNCTION("""COMPUTED_VALUE"""),7)</f>
        <v>7</v>
      </c>
      <c r="F199" s="5">
        <f ca="1">IFERROR(__xludf.DUMMYFUNCTION("""COMPUTED_VALUE"""),3)</f>
        <v>3</v>
      </c>
      <c r="G199" s="5"/>
      <c r="H199" s="5"/>
      <c r="I199" s="5"/>
      <c r="J199" s="5"/>
      <c r="K199" s="5"/>
      <c r="L199" s="5"/>
      <c r="M199">
        <f ca="1">IFERROR(__xludf.DUMMYFUNCTION("""COMPUTED_VALUE"""),10)</f>
        <v>10</v>
      </c>
      <c r="N199" s="8"/>
    </row>
    <row r="200" spans="1:14" ht="12.45" hidden="1">
      <c r="A200" t="str">
        <f ca="1">IFERROR(__xludf.DUMMYFUNCTION("""COMPUTED_VALUE"""),"III-4-078")</f>
        <v>III-4-078</v>
      </c>
      <c r="B200" t="str">
        <f ca="1">IFERROR(__xludf.DUMMYFUNCTION("""COMPUTED_VALUE"""),"Быкова")</f>
        <v>Быкова</v>
      </c>
      <c r="C200" t="str">
        <f ca="1">IFERROR(__xludf.DUMMYFUNCTION("""COMPUTED_VALUE"""),"Дарья")</f>
        <v>Дарья</v>
      </c>
      <c r="D200" t="str">
        <f ca="1">IFERROR(__xludf.DUMMYFUNCTION("""COMPUTED_VALUE"""),"Школа ГРАН")</f>
        <v>Школа ГРАН</v>
      </c>
      <c r="E200" s="5">
        <f ca="1">IFERROR(__xludf.DUMMYFUNCTION("""COMPUTED_VALUE"""),7)</f>
        <v>7</v>
      </c>
      <c r="F200" s="5">
        <f ca="1">IFERROR(__xludf.DUMMYFUNCTION("""COMPUTED_VALUE"""),0)</f>
        <v>0</v>
      </c>
      <c r="G200" s="5">
        <f ca="1">IFERROR(__xludf.DUMMYFUNCTION("""COMPUTED_VALUE"""),2)</f>
        <v>2</v>
      </c>
      <c r="H200" s="5">
        <f ca="1">IFERROR(__xludf.DUMMYFUNCTION("""COMPUTED_VALUE"""),0)</f>
        <v>0</v>
      </c>
      <c r="I200" s="5">
        <f ca="1">IFERROR(__xludf.DUMMYFUNCTION("""COMPUTED_VALUE"""),1)</f>
        <v>1</v>
      </c>
      <c r="J200" s="5"/>
      <c r="K200" s="5"/>
      <c r="L200" s="5"/>
      <c r="M200">
        <f ca="1">IFERROR(__xludf.DUMMYFUNCTION("""COMPUTED_VALUE"""),10)</f>
        <v>10</v>
      </c>
      <c r="N200" s="8"/>
    </row>
    <row r="201" spans="1:14" ht="12.45" hidden="1">
      <c r="A201" t="str">
        <f ca="1">IFERROR(__xludf.DUMMYFUNCTION("""COMPUTED_VALUE"""),"III-4-086")</f>
        <v>III-4-086</v>
      </c>
      <c r="B201" t="str">
        <f ca="1">IFERROR(__xludf.DUMMYFUNCTION("""COMPUTED_VALUE"""),"Васильева")</f>
        <v>Васильева</v>
      </c>
      <c r="C201" t="str">
        <f ca="1">IFERROR(__xludf.DUMMYFUNCTION("""COMPUTED_VALUE"""),"Алиса")</f>
        <v>Алиса</v>
      </c>
      <c r="D201" t="str">
        <f ca="1">IFERROR(__xludf.DUMMYFUNCTION("""COMPUTED_VALUE"""),"Лицей 344")</f>
        <v>Лицей 344</v>
      </c>
      <c r="E201" s="5">
        <f ca="1">IFERROR(__xludf.DUMMYFUNCTION("""COMPUTED_VALUE"""),7)</f>
        <v>7</v>
      </c>
      <c r="F201" s="5">
        <f ca="1">IFERROR(__xludf.DUMMYFUNCTION("""COMPUTED_VALUE"""),3)</f>
        <v>3</v>
      </c>
      <c r="G201" s="5"/>
      <c r="H201" s="5"/>
      <c r="I201" s="5"/>
      <c r="J201" s="5"/>
      <c r="K201" s="5"/>
      <c r="L201" s="5"/>
      <c r="M201">
        <f ca="1">IFERROR(__xludf.DUMMYFUNCTION("""COMPUTED_VALUE"""),10)</f>
        <v>10</v>
      </c>
      <c r="N201" s="8"/>
    </row>
    <row r="202" spans="1:14" ht="12.45" hidden="1">
      <c r="A202" t="str">
        <f ca="1">IFERROR(__xludf.DUMMYFUNCTION("""COMPUTED_VALUE"""),"III-4-088")</f>
        <v>III-4-088</v>
      </c>
      <c r="B202" t="str">
        <f ca="1">IFERROR(__xludf.DUMMYFUNCTION("""COMPUTED_VALUE"""),"Вассерберг")</f>
        <v>Вассерберг</v>
      </c>
      <c r="C202" t="str">
        <f ca="1">IFERROR(__xludf.DUMMYFUNCTION("""COMPUTED_VALUE"""),"Елисей")</f>
        <v>Елисей</v>
      </c>
      <c r="D202" t="str">
        <f ca="1">IFERROR(__xludf.DUMMYFUNCTION("""COMPUTED_VALUE"""),"Школа 636")</f>
        <v>Школа 636</v>
      </c>
      <c r="E202" s="5">
        <f ca="1">IFERROR(__xludf.DUMMYFUNCTION("""COMPUTED_VALUE"""),7)</f>
        <v>7</v>
      </c>
      <c r="F202" s="5">
        <f ca="1">IFERROR(__xludf.DUMMYFUNCTION("""COMPUTED_VALUE"""),3)</f>
        <v>3</v>
      </c>
      <c r="G202" s="5"/>
      <c r="H202" s="5"/>
      <c r="I202" s="5"/>
      <c r="J202" s="5"/>
      <c r="K202" s="5"/>
      <c r="L202" s="5"/>
      <c r="M202">
        <f ca="1">IFERROR(__xludf.DUMMYFUNCTION("""COMPUTED_VALUE"""),10)</f>
        <v>10</v>
      </c>
      <c r="N202" s="8"/>
    </row>
    <row r="203" spans="1:14" ht="12.45" hidden="1">
      <c r="A203" t="str">
        <f ca="1">IFERROR(__xludf.DUMMYFUNCTION("""COMPUTED_VALUE"""),"III-4-103")</f>
        <v>III-4-103</v>
      </c>
      <c r="B203" t="str">
        <f ca="1">IFERROR(__xludf.DUMMYFUNCTION("""COMPUTED_VALUE"""),"Волкова")</f>
        <v>Волкова</v>
      </c>
      <c r="C203" t="str">
        <f ca="1">IFERROR(__xludf.DUMMYFUNCTION("""COMPUTED_VALUE"""),"Оксана")</f>
        <v>Оксана</v>
      </c>
      <c r="D203" t="str">
        <f ca="1">IFERROR(__xludf.DUMMYFUNCTION("""COMPUTED_VALUE"""),"Гимназия 652")</f>
        <v>Гимназия 652</v>
      </c>
      <c r="E203" s="5">
        <f ca="1">IFERROR(__xludf.DUMMYFUNCTION("""COMPUTED_VALUE"""),7)</f>
        <v>7</v>
      </c>
      <c r="F203" s="5">
        <f ca="1">IFERROR(__xludf.DUMMYFUNCTION("""COMPUTED_VALUE"""),3)</f>
        <v>3</v>
      </c>
      <c r="G203" s="5"/>
      <c r="H203" s="5"/>
      <c r="I203" s="5"/>
      <c r="J203" s="5"/>
      <c r="K203" s="5"/>
      <c r="L203" s="5"/>
      <c r="M203">
        <f ca="1">IFERROR(__xludf.DUMMYFUNCTION("""COMPUTED_VALUE"""),10)</f>
        <v>10</v>
      </c>
      <c r="N203" s="8"/>
    </row>
    <row r="204" spans="1:14" ht="12.45" hidden="1">
      <c r="A204" t="str">
        <f ca="1">IFERROR(__xludf.DUMMYFUNCTION("""COMPUTED_VALUE"""),"III-4-108")</f>
        <v>III-4-108</v>
      </c>
      <c r="B204" t="str">
        <f ca="1">IFERROR(__xludf.DUMMYFUNCTION("""COMPUTED_VALUE"""),"Выросткевич")</f>
        <v>Выросткевич</v>
      </c>
      <c r="C204" t="str">
        <f ca="1">IFERROR(__xludf.DUMMYFUNCTION("""COMPUTED_VALUE"""),"Дарья")</f>
        <v>Дарья</v>
      </c>
      <c r="D204" t="str">
        <f ca="1">IFERROR(__xludf.DUMMYFUNCTION("""COMPUTED_VALUE"""),"Гимназия 446")</f>
        <v>Гимназия 446</v>
      </c>
      <c r="E204" s="5">
        <f ca="1">IFERROR(__xludf.DUMMYFUNCTION("""COMPUTED_VALUE"""),7)</f>
        <v>7</v>
      </c>
      <c r="F204" s="5">
        <f ca="1">IFERROR(__xludf.DUMMYFUNCTION("""COMPUTED_VALUE"""),3)</f>
        <v>3</v>
      </c>
      <c r="G204" s="5"/>
      <c r="H204" s="5"/>
      <c r="I204" s="5"/>
      <c r="J204" s="5"/>
      <c r="K204" s="5"/>
      <c r="L204" s="5"/>
      <c r="M204">
        <f ca="1">IFERROR(__xludf.DUMMYFUNCTION("""COMPUTED_VALUE"""),10)</f>
        <v>10</v>
      </c>
      <c r="N204" s="8"/>
    </row>
    <row r="205" spans="1:14" ht="12.45" hidden="1">
      <c r="A205" t="str">
        <f ca="1">IFERROR(__xludf.DUMMYFUNCTION("""COMPUTED_VALUE"""),"III-4-113")</f>
        <v>III-4-113</v>
      </c>
      <c r="B205" t="str">
        <f ca="1">IFERROR(__xludf.DUMMYFUNCTION("""COMPUTED_VALUE"""),"Гайдар")</f>
        <v>Гайдар</v>
      </c>
      <c r="C205" t="str">
        <f ca="1">IFERROR(__xludf.DUMMYFUNCTION("""COMPUTED_VALUE"""),"Савва")</f>
        <v>Савва</v>
      </c>
      <c r="D205" t="str">
        <f ca="1">IFERROR(__xludf.DUMMYFUNCTION("""COMPUTED_VALUE"""),"Школа 684")</f>
        <v>Школа 684</v>
      </c>
      <c r="E205" s="5">
        <f ca="1">IFERROR(__xludf.DUMMYFUNCTION("""COMPUTED_VALUE"""),7)</f>
        <v>7</v>
      </c>
      <c r="F205" s="5">
        <f ca="1">IFERROR(__xludf.DUMMYFUNCTION("""COMPUTED_VALUE"""),3)</f>
        <v>3</v>
      </c>
      <c r="G205" s="5"/>
      <c r="H205" s="5"/>
      <c r="I205" s="5"/>
      <c r="J205" s="5"/>
      <c r="K205" s="5"/>
      <c r="L205" s="5"/>
      <c r="M205">
        <f ca="1">IFERROR(__xludf.DUMMYFUNCTION("""COMPUTED_VALUE"""),10)</f>
        <v>10</v>
      </c>
      <c r="N205" s="8"/>
    </row>
    <row r="206" spans="1:14" ht="12.45" hidden="1">
      <c r="A206" t="str">
        <f ca="1">IFERROR(__xludf.DUMMYFUNCTION("""COMPUTED_VALUE"""),"III-4-114")</f>
        <v>III-4-114</v>
      </c>
      <c r="B206" t="str">
        <f ca="1">IFERROR(__xludf.DUMMYFUNCTION("""COMPUTED_VALUE"""),"Гайдарович")</f>
        <v>Гайдарович</v>
      </c>
      <c r="C206" t="str">
        <f ca="1">IFERROR(__xludf.DUMMYFUNCTION("""COMPUTED_VALUE"""),"Вероника")</f>
        <v>Вероника</v>
      </c>
      <c r="D206" t="str">
        <f ca="1">IFERROR(__xludf.DUMMYFUNCTION("""COMPUTED_VALUE"""),"Лицей 179")</f>
        <v>Лицей 179</v>
      </c>
      <c r="E206" s="5">
        <f ca="1">IFERROR(__xludf.DUMMYFUNCTION("""COMPUTED_VALUE"""),2)</f>
        <v>2</v>
      </c>
      <c r="F206" s="5">
        <f ca="1">IFERROR(__xludf.DUMMYFUNCTION("""COMPUTED_VALUE"""),3)</f>
        <v>3</v>
      </c>
      <c r="G206" s="5">
        <f ca="1">IFERROR(__xludf.DUMMYFUNCTION("""COMPUTED_VALUE"""),1)</f>
        <v>1</v>
      </c>
      <c r="H206" s="5"/>
      <c r="I206" s="5">
        <f ca="1">IFERROR(__xludf.DUMMYFUNCTION("""COMPUTED_VALUE"""),2)</f>
        <v>2</v>
      </c>
      <c r="J206" s="5">
        <f ca="1">IFERROR(__xludf.DUMMYFUNCTION("""COMPUTED_VALUE"""),1)</f>
        <v>1</v>
      </c>
      <c r="K206" s="5">
        <f ca="1">IFERROR(__xludf.DUMMYFUNCTION("""COMPUTED_VALUE"""),1)</f>
        <v>1</v>
      </c>
      <c r="L206" s="5"/>
      <c r="M206">
        <f ca="1">IFERROR(__xludf.DUMMYFUNCTION("""COMPUTED_VALUE"""),10)</f>
        <v>10</v>
      </c>
      <c r="N206" s="8"/>
    </row>
    <row r="207" spans="1:14" ht="12.45" hidden="1">
      <c r="A207" t="str">
        <f ca="1">IFERROR(__xludf.DUMMYFUNCTION("""COMPUTED_VALUE"""),"III-4-128")</f>
        <v>III-4-128</v>
      </c>
      <c r="B207" t="str">
        <f ca="1">IFERROR(__xludf.DUMMYFUNCTION("""COMPUTED_VALUE"""),"Горн")</f>
        <v>Горн</v>
      </c>
      <c r="C207" t="str">
        <f ca="1">IFERROR(__xludf.DUMMYFUNCTION("""COMPUTED_VALUE"""),"Василий")</f>
        <v>Василий</v>
      </c>
      <c r="D207" t="str">
        <f ca="1">IFERROR(__xludf.DUMMYFUNCTION("""COMPUTED_VALUE"""),"Школа ЦО Кудрово")</f>
        <v>Школа ЦО Кудрово</v>
      </c>
      <c r="E207" s="5">
        <f ca="1">IFERROR(__xludf.DUMMYFUNCTION("""COMPUTED_VALUE"""),7)</f>
        <v>7</v>
      </c>
      <c r="F207" s="5">
        <f ca="1">IFERROR(__xludf.DUMMYFUNCTION("""COMPUTED_VALUE"""),3)</f>
        <v>3</v>
      </c>
      <c r="G207" s="5"/>
      <c r="H207" s="5"/>
      <c r="I207" s="5"/>
      <c r="J207" s="5"/>
      <c r="K207" s="5"/>
      <c r="L207" s="5"/>
      <c r="M207">
        <f ca="1">IFERROR(__xludf.DUMMYFUNCTION("""COMPUTED_VALUE"""),10)</f>
        <v>10</v>
      </c>
      <c r="N207" s="8"/>
    </row>
    <row r="208" spans="1:14" ht="12.45" hidden="1">
      <c r="A208" t="str">
        <f ca="1">IFERROR(__xludf.DUMMYFUNCTION("""COMPUTED_VALUE"""),"III-4-130")</f>
        <v>III-4-130</v>
      </c>
      <c r="B208" t="str">
        <f ca="1">IFERROR(__xludf.DUMMYFUNCTION("""COMPUTED_VALUE"""),"Граве")</f>
        <v>Граве</v>
      </c>
      <c r="C208" t="str">
        <f ca="1">IFERROR(__xludf.DUMMYFUNCTION("""COMPUTED_VALUE"""),"Полина")</f>
        <v>Полина</v>
      </c>
      <c r="D208" t="str">
        <f ca="1">IFERROR(__xludf.DUMMYFUNCTION("""COMPUTED_VALUE"""),"Школа Квадривиум")</f>
        <v>Школа Квадривиум</v>
      </c>
      <c r="E208" s="5">
        <f ca="1">IFERROR(__xludf.DUMMYFUNCTION("""COMPUTED_VALUE"""),7)</f>
        <v>7</v>
      </c>
      <c r="F208" s="5">
        <f ca="1">IFERROR(__xludf.DUMMYFUNCTION("""COMPUTED_VALUE"""),3)</f>
        <v>3</v>
      </c>
      <c r="G208" s="5"/>
      <c r="H208" s="5"/>
      <c r="I208" s="5"/>
      <c r="J208" s="5"/>
      <c r="K208" s="5"/>
      <c r="L208" s="5"/>
      <c r="M208">
        <f ca="1">IFERROR(__xludf.DUMMYFUNCTION("""COMPUTED_VALUE"""),10)</f>
        <v>10</v>
      </c>
      <c r="N208" s="8"/>
    </row>
    <row r="209" spans="1:14" ht="12.45" hidden="1">
      <c r="A209" t="str">
        <f ca="1">IFERROR(__xludf.DUMMYFUNCTION("""COMPUTED_VALUE"""),"III-4-135")</f>
        <v>III-4-135</v>
      </c>
      <c r="B209" t="str">
        <f ca="1">IFERROR(__xludf.DUMMYFUNCTION("""COMPUTED_VALUE"""),"Григорьев")</f>
        <v>Григорьев</v>
      </c>
      <c r="C209" t="str">
        <f ca="1">IFERROR(__xludf.DUMMYFUNCTION("""COMPUTED_VALUE"""),"Игорь")</f>
        <v>Игорь</v>
      </c>
      <c r="D209" t="str">
        <f ca="1">IFERROR(__xludf.DUMMYFUNCTION("""COMPUTED_VALUE"""),"Лицей 384")</f>
        <v>Лицей 384</v>
      </c>
      <c r="E209" s="5">
        <f ca="1">IFERROR(__xludf.DUMMYFUNCTION("""COMPUTED_VALUE"""),7)</f>
        <v>7</v>
      </c>
      <c r="F209" s="5">
        <f ca="1">IFERROR(__xludf.DUMMYFUNCTION("""COMPUTED_VALUE"""),3)</f>
        <v>3</v>
      </c>
      <c r="G209" s="5"/>
      <c r="H209" s="5"/>
      <c r="I209" s="5"/>
      <c r="J209" s="5"/>
      <c r="K209" s="5"/>
      <c r="L209" s="5"/>
      <c r="M209">
        <f ca="1">IFERROR(__xludf.DUMMYFUNCTION("""COMPUTED_VALUE"""),10)</f>
        <v>10</v>
      </c>
      <c r="N209" s="8"/>
    </row>
    <row r="210" spans="1:14" ht="12.45" hidden="1">
      <c r="A210" t="str">
        <f ca="1">IFERROR(__xludf.DUMMYFUNCTION("""COMPUTED_VALUE"""),"III-4-138")</f>
        <v>III-4-138</v>
      </c>
      <c r="B210" t="str">
        <f ca="1">IFERROR(__xludf.DUMMYFUNCTION("""COMPUTED_VALUE"""),"Губадлы")</f>
        <v>Губадлы</v>
      </c>
      <c r="C210" t="str">
        <f ca="1">IFERROR(__xludf.DUMMYFUNCTION("""COMPUTED_VALUE"""),"Огтай")</f>
        <v>Огтай</v>
      </c>
      <c r="D210" t="str">
        <f ca="1">IFERROR(__xludf.DUMMYFUNCTION("""COMPUTED_VALUE"""),"Школа 327")</f>
        <v>Школа 327</v>
      </c>
      <c r="E210" s="5">
        <f ca="1">IFERROR(__xludf.DUMMYFUNCTION("""COMPUTED_VALUE"""),7)</f>
        <v>7</v>
      </c>
      <c r="F210" s="5">
        <f ca="1">IFERROR(__xludf.DUMMYFUNCTION("""COMPUTED_VALUE"""),3)</f>
        <v>3</v>
      </c>
      <c r="G210" s="5"/>
      <c r="H210" s="5"/>
      <c r="I210" s="5"/>
      <c r="J210" s="5"/>
      <c r="K210" s="5"/>
      <c r="L210" s="5"/>
      <c r="M210">
        <f ca="1">IFERROR(__xludf.DUMMYFUNCTION("""COMPUTED_VALUE"""),10)</f>
        <v>10</v>
      </c>
      <c r="N210" s="8"/>
    </row>
    <row r="211" spans="1:14" ht="12.45" hidden="1">
      <c r="A211" t="str">
        <f ca="1">IFERROR(__xludf.DUMMYFUNCTION("""COMPUTED_VALUE"""),"III-4-151")</f>
        <v>III-4-151</v>
      </c>
      <c r="B211" t="str">
        <f ca="1">IFERROR(__xludf.DUMMYFUNCTION("""COMPUTED_VALUE"""),"Дементьев")</f>
        <v>Дементьев</v>
      </c>
      <c r="C211" t="str">
        <f ca="1">IFERROR(__xludf.DUMMYFUNCTION("""COMPUTED_VALUE"""),"Даниил")</f>
        <v>Даниил</v>
      </c>
      <c r="D211" t="str">
        <f ca="1">IFERROR(__xludf.DUMMYFUNCTION("""COMPUTED_VALUE"""),"Лицей 344")</f>
        <v>Лицей 344</v>
      </c>
      <c r="E211" s="5">
        <f ca="1">IFERROR(__xludf.DUMMYFUNCTION("""COMPUTED_VALUE"""),7)</f>
        <v>7</v>
      </c>
      <c r="F211" s="5">
        <f ca="1">IFERROR(__xludf.DUMMYFUNCTION("""COMPUTED_VALUE"""),2)</f>
        <v>2</v>
      </c>
      <c r="G211" s="5"/>
      <c r="H211" s="5">
        <f ca="1">IFERROR(__xludf.DUMMYFUNCTION("""COMPUTED_VALUE"""),0)</f>
        <v>0</v>
      </c>
      <c r="I211" s="5">
        <f ca="1">IFERROR(__xludf.DUMMYFUNCTION("""COMPUTED_VALUE"""),1)</f>
        <v>1</v>
      </c>
      <c r="J211" s="5"/>
      <c r="K211" s="5"/>
      <c r="L211" s="5"/>
      <c r="M211">
        <f ca="1">IFERROR(__xludf.DUMMYFUNCTION("""COMPUTED_VALUE"""),10)</f>
        <v>10</v>
      </c>
      <c r="N211" s="8"/>
    </row>
    <row r="212" spans="1:14" ht="12.45" hidden="1">
      <c r="A212" t="str">
        <f ca="1">IFERROR(__xludf.DUMMYFUNCTION("""COMPUTED_VALUE"""),"III-4-152")</f>
        <v>III-4-152</v>
      </c>
      <c r="B212" t="str">
        <f ca="1">IFERROR(__xludf.DUMMYFUNCTION("""COMPUTED_VALUE"""),"Демина")</f>
        <v>Демина</v>
      </c>
      <c r="C212" t="str">
        <f ca="1">IFERROR(__xludf.DUMMYFUNCTION("""COMPUTED_VALUE"""),"Александра")</f>
        <v>Александра</v>
      </c>
      <c r="D212" t="str">
        <f ca="1">IFERROR(__xludf.DUMMYFUNCTION("""COMPUTED_VALUE"""),"Гимназия 652")</f>
        <v>Гимназия 652</v>
      </c>
      <c r="E212" s="5">
        <f ca="1">IFERROR(__xludf.DUMMYFUNCTION("""COMPUTED_VALUE"""),7)</f>
        <v>7</v>
      </c>
      <c r="F212" s="5">
        <f ca="1">IFERROR(__xludf.DUMMYFUNCTION("""COMPUTED_VALUE"""),3)</f>
        <v>3</v>
      </c>
      <c r="G212" s="5"/>
      <c r="H212" s="5"/>
      <c r="I212" s="5"/>
      <c r="J212" s="5"/>
      <c r="K212" s="5"/>
      <c r="L212" s="5"/>
      <c r="M212">
        <f ca="1">IFERROR(__xludf.DUMMYFUNCTION("""COMPUTED_VALUE"""),10)</f>
        <v>10</v>
      </c>
      <c r="N212" s="8"/>
    </row>
    <row r="213" spans="1:14" ht="12.45" hidden="1">
      <c r="A213" t="str">
        <f ca="1">IFERROR(__xludf.DUMMYFUNCTION("""COMPUTED_VALUE"""),"III-4-160")</f>
        <v>III-4-160</v>
      </c>
      <c r="B213" t="str">
        <f ca="1">IFERROR(__xludf.DUMMYFUNCTION("""COMPUTED_VALUE"""),"Дрыжак")</f>
        <v>Дрыжак</v>
      </c>
      <c r="C213" t="str">
        <f ca="1">IFERROR(__xludf.DUMMYFUNCTION("""COMPUTED_VALUE"""),"Тимофей")</f>
        <v>Тимофей</v>
      </c>
      <c r="D213" t="str">
        <f ca="1">IFERROR(__xludf.DUMMYFUNCTION("""COMPUTED_VALUE"""),"Лицей 150")</f>
        <v>Лицей 150</v>
      </c>
      <c r="E213" s="5">
        <f ca="1">IFERROR(__xludf.DUMMYFUNCTION("""COMPUTED_VALUE"""),7)</f>
        <v>7</v>
      </c>
      <c r="F213" s="5">
        <f ca="1">IFERROR(__xludf.DUMMYFUNCTION("""COMPUTED_VALUE"""),3)</f>
        <v>3</v>
      </c>
      <c r="G213" s="5"/>
      <c r="H213" s="5"/>
      <c r="I213" s="5"/>
      <c r="J213" s="5"/>
      <c r="K213" s="5"/>
      <c r="L213" s="5"/>
      <c r="M213">
        <f ca="1">IFERROR(__xludf.DUMMYFUNCTION("""COMPUTED_VALUE"""),10)</f>
        <v>10</v>
      </c>
      <c r="N213" s="8"/>
    </row>
    <row r="214" spans="1:14" ht="12.45" hidden="1">
      <c r="A214" t="str">
        <f ca="1">IFERROR(__xludf.DUMMYFUNCTION("""COMPUTED_VALUE"""),"III-4-167")</f>
        <v>III-4-167</v>
      </c>
      <c r="B214" t="str">
        <f ca="1">IFERROR(__xludf.DUMMYFUNCTION("""COMPUTED_VALUE"""),"Егорова")</f>
        <v>Егорова</v>
      </c>
      <c r="C214" t="str">
        <f ca="1">IFERROR(__xludf.DUMMYFUNCTION("""COMPUTED_VALUE"""),"Мария")</f>
        <v>Мария</v>
      </c>
      <c r="D214" t="str">
        <f ca="1">IFERROR(__xludf.DUMMYFUNCTION("""COMPUTED_VALUE"""),"Школа 643")</f>
        <v>Школа 643</v>
      </c>
      <c r="E214" s="5">
        <f ca="1">IFERROR(__xludf.DUMMYFUNCTION("""COMPUTED_VALUE"""),7)</f>
        <v>7</v>
      </c>
      <c r="F214" s="5">
        <f ca="1">IFERROR(__xludf.DUMMYFUNCTION("""COMPUTED_VALUE"""),3)</f>
        <v>3</v>
      </c>
      <c r="G214" s="5"/>
      <c r="H214" s="5"/>
      <c r="I214" s="5"/>
      <c r="J214" s="5"/>
      <c r="K214" s="5"/>
      <c r="L214" s="5"/>
      <c r="M214">
        <f ca="1">IFERROR(__xludf.DUMMYFUNCTION("""COMPUTED_VALUE"""),10)</f>
        <v>10</v>
      </c>
      <c r="N214" s="8"/>
    </row>
    <row r="215" spans="1:14" ht="12.45" hidden="1">
      <c r="A215" t="str">
        <f ca="1">IFERROR(__xludf.DUMMYFUNCTION("""COMPUTED_VALUE"""),"III-4-173")</f>
        <v>III-4-173</v>
      </c>
      <c r="B215" t="str">
        <f ca="1">IFERROR(__xludf.DUMMYFUNCTION("""COMPUTED_VALUE"""),"Жамков")</f>
        <v>Жамков</v>
      </c>
      <c r="C215" t="str">
        <f ca="1">IFERROR(__xludf.DUMMYFUNCTION("""COMPUTED_VALUE"""),"Никита")</f>
        <v>Никита</v>
      </c>
      <c r="D215" t="str">
        <f ca="1">IFERROR(__xludf.DUMMYFUNCTION("""COMPUTED_VALUE"""),"Школа 619")</f>
        <v>Школа 619</v>
      </c>
      <c r="E215" s="5">
        <f ca="1">IFERROR(__xludf.DUMMYFUNCTION("""COMPUTED_VALUE"""),7)</f>
        <v>7</v>
      </c>
      <c r="F215" s="5"/>
      <c r="G215" s="5">
        <f ca="1">IFERROR(__xludf.DUMMYFUNCTION("""COMPUTED_VALUE"""),2)</f>
        <v>2</v>
      </c>
      <c r="H215" s="5"/>
      <c r="I215" s="5">
        <f ca="1">IFERROR(__xludf.DUMMYFUNCTION("""COMPUTED_VALUE"""),1)</f>
        <v>1</v>
      </c>
      <c r="J215" s="5"/>
      <c r="K215" s="5"/>
      <c r="L215" s="5"/>
      <c r="M215">
        <f ca="1">IFERROR(__xludf.DUMMYFUNCTION("""COMPUTED_VALUE"""),10)</f>
        <v>10</v>
      </c>
      <c r="N215" s="8"/>
    </row>
    <row r="216" spans="1:14" ht="12.45" hidden="1">
      <c r="A216" t="str">
        <f ca="1">IFERROR(__xludf.DUMMYFUNCTION("""COMPUTED_VALUE"""),"III-4-183")</f>
        <v>III-4-183</v>
      </c>
      <c r="B216" t="str">
        <f ca="1">IFERROR(__xludf.DUMMYFUNCTION("""COMPUTED_VALUE"""),"Зверев")</f>
        <v>Зверев</v>
      </c>
      <c r="C216" t="str">
        <f ca="1">IFERROR(__xludf.DUMMYFUNCTION("""COMPUTED_VALUE"""),"Кирилл")</f>
        <v>Кирилл</v>
      </c>
      <c r="D216" t="str">
        <f ca="1">IFERROR(__xludf.DUMMYFUNCTION("""COMPUTED_VALUE"""),"Школа 12")</f>
        <v>Школа 12</v>
      </c>
      <c r="E216" s="5">
        <f ca="1">IFERROR(__xludf.DUMMYFUNCTION("""COMPUTED_VALUE"""),7)</f>
        <v>7</v>
      </c>
      <c r="F216" s="5">
        <f ca="1">IFERROR(__xludf.DUMMYFUNCTION("""COMPUTED_VALUE"""),3)</f>
        <v>3</v>
      </c>
      <c r="G216" s="5"/>
      <c r="H216" s="5"/>
      <c r="I216" s="5"/>
      <c r="J216" s="5"/>
      <c r="K216" s="5"/>
      <c r="L216" s="5"/>
      <c r="M216">
        <f ca="1">IFERROR(__xludf.DUMMYFUNCTION("""COMPUTED_VALUE"""),10)</f>
        <v>10</v>
      </c>
      <c r="N216" s="8"/>
    </row>
    <row r="217" spans="1:14" ht="12.45" hidden="1">
      <c r="A217" t="str">
        <f ca="1">IFERROR(__xludf.DUMMYFUNCTION("""COMPUTED_VALUE"""),"III-4-242")</f>
        <v>III-4-242</v>
      </c>
      <c r="B217" t="str">
        <f ca="1">IFERROR(__xludf.DUMMYFUNCTION("""COMPUTED_VALUE"""),"Крестьянинов")</f>
        <v>Крестьянинов</v>
      </c>
      <c r="C217" t="str">
        <f ca="1">IFERROR(__xludf.DUMMYFUNCTION("""COMPUTED_VALUE"""),"Владислав​")</f>
        <v>Владислав​</v>
      </c>
      <c r="D217" t="str">
        <f ca="1">IFERROR(__xludf.DUMMYFUNCTION("""COMPUTED_VALUE"""),"Школа 249 им. М.В. Маневича")</f>
        <v>Школа 249 им. М.В. Маневича</v>
      </c>
      <c r="E217" s="5">
        <f ca="1">IFERROR(__xludf.DUMMYFUNCTION("""COMPUTED_VALUE"""),7)</f>
        <v>7</v>
      </c>
      <c r="F217" s="5">
        <f ca="1">IFERROR(__xludf.DUMMYFUNCTION("""COMPUTED_VALUE"""),3)</f>
        <v>3</v>
      </c>
      <c r="G217" s="5"/>
      <c r="H217" s="5"/>
      <c r="I217" s="5"/>
      <c r="J217" s="5"/>
      <c r="K217" s="5"/>
      <c r="L217" s="5"/>
      <c r="M217">
        <f ca="1">IFERROR(__xludf.DUMMYFUNCTION("""COMPUTED_VALUE"""),10)</f>
        <v>10</v>
      </c>
      <c r="N217" s="8"/>
    </row>
    <row r="218" spans="1:14" ht="12.45" hidden="1">
      <c r="A218" t="str">
        <f ca="1">IFERROR(__xludf.DUMMYFUNCTION("""COMPUTED_VALUE"""),"V-4-290")</f>
        <v>V-4-290</v>
      </c>
      <c r="B218" t="str">
        <f ca="1">IFERROR(__xludf.DUMMYFUNCTION("""COMPUTED_VALUE"""),"Марьян")</f>
        <v>Марьян</v>
      </c>
      <c r="C218" t="str">
        <f ca="1">IFERROR(__xludf.DUMMYFUNCTION("""COMPUTED_VALUE"""),"Герман")</f>
        <v>Герман</v>
      </c>
      <c r="D218" t="str">
        <f ca="1">IFERROR(__xludf.DUMMYFUNCTION("""COMPUTED_VALUE"""),"Лицей 470")</f>
        <v>Лицей 470</v>
      </c>
      <c r="E218" s="5">
        <f ca="1">IFERROR(__xludf.DUMMYFUNCTION("""COMPUTED_VALUE"""),7)</f>
        <v>7</v>
      </c>
      <c r="F218" s="5">
        <f ca="1">IFERROR(__xludf.DUMMYFUNCTION("""COMPUTED_VALUE"""),3)</f>
        <v>3</v>
      </c>
      <c r="G218" s="5"/>
      <c r="H218" s="5"/>
      <c r="I218" s="5"/>
      <c r="J218" s="5"/>
      <c r="K218" s="5"/>
      <c r="L218" s="5"/>
      <c r="M218">
        <f ca="1">IFERROR(__xludf.DUMMYFUNCTION("""COMPUTED_VALUE"""),10)</f>
        <v>10</v>
      </c>
      <c r="N218" s="8"/>
    </row>
    <row r="219" spans="1:14" ht="12.45" hidden="1">
      <c r="A219" t="str">
        <f ca="1">IFERROR(__xludf.DUMMYFUNCTION("""COMPUTED_VALUE"""),"V-4-342")</f>
        <v>V-4-342</v>
      </c>
      <c r="B219" t="str">
        <f ca="1">IFERROR(__xludf.DUMMYFUNCTION("""COMPUTED_VALUE"""),"Першин")</f>
        <v>Першин</v>
      </c>
      <c r="C219" t="str">
        <f ca="1">IFERROR(__xludf.DUMMYFUNCTION("""COMPUTED_VALUE"""),"Глеб")</f>
        <v>Глеб</v>
      </c>
      <c r="D219" t="str">
        <f ca="1">IFERROR(__xludf.DUMMYFUNCTION("""COMPUTED_VALUE"""),"Школа 641")</f>
        <v>Школа 641</v>
      </c>
      <c r="E219" s="5">
        <f ca="1">IFERROR(__xludf.DUMMYFUNCTION("""COMPUTED_VALUE"""),7)</f>
        <v>7</v>
      </c>
      <c r="F219" s="5">
        <f ca="1">IFERROR(__xludf.DUMMYFUNCTION("""COMPUTED_VALUE"""),3)</f>
        <v>3</v>
      </c>
      <c r="G219" s="5"/>
      <c r="H219" s="5"/>
      <c r="I219" s="5"/>
      <c r="J219" s="5"/>
      <c r="K219" s="5"/>
      <c r="L219" s="5"/>
      <c r="M219">
        <f ca="1">IFERROR(__xludf.DUMMYFUNCTION("""COMPUTED_VALUE"""),10)</f>
        <v>10</v>
      </c>
      <c r="N219" s="8"/>
    </row>
    <row r="220" spans="1:14" ht="12.45" hidden="1">
      <c r="A220" t="str">
        <f ca="1">IFERROR(__xludf.DUMMYFUNCTION("""COMPUTED_VALUE"""),"V-4-382")</f>
        <v>V-4-382</v>
      </c>
      <c r="B220" t="str">
        <f ca="1">IFERROR(__xludf.DUMMYFUNCTION("""COMPUTED_VALUE"""),"Райцын")</f>
        <v>Райцын</v>
      </c>
      <c r="C220" t="str">
        <f ca="1">IFERROR(__xludf.DUMMYFUNCTION("""COMPUTED_VALUE"""),"Роман")</f>
        <v>Роман</v>
      </c>
      <c r="D220" t="str">
        <f ca="1">IFERROR(__xludf.DUMMYFUNCTION("""COMPUTED_VALUE"""),"Гимназия 642")</f>
        <v>Гимназия 642</v>
      </c>
      <c r="E220" s="5">
        <f ca="1">IFERROR(__xludf.DUMMYFUNCTION("""COMPUTED_VALUE"""),7)</f>
        <v>7</v>
      </c>
      <c r="F220" s="5">
        <f ca="1">IFERROR(__xludf.DUMMYFUNCTION("""COMPUTED_VALUE"""),3)</f>
        <v>3</v>
      </c>
      <c r="G220" s="5"/>
      <c r="H220" s="5"/>
      <c r="I220" s="5"/>
      <c r="J220" s="5"/>
      <c r="K220" s="5"/>
      <c r="L220" s="5"/>
      <c r="M220">
        <f ca="1">IFERROR(__xludf.DUMMYFUNCTION("""COMPUTED_VALUE"""),10)</f>
        <v>10</v>
      </c>
      <c r="N220" s="8"/>
    </row>
    <row r="221" spans="1:14" ht="12.45" hidden="1">
      <c r="A221" t="str">
        <f ca="1">IFERROR(__xludf.DUMMYFUNCTION("""COMPUTED_VALUE"""),"V-4-410")</f>
        <v>V-4-410</v>
      </c>
      <c r="B221" t="str">
        <f ca="1">IFERROR(__xludf.DUMMYFUNCTION("""COMPUTED_VALUE"""),"Самарин")</f>
        <v>Самарин</v>
      </c>
      <c r="C221" t="str">
        <f ca="1">IFERROR(__xludf.DUMMYFUNCTION("""COMPUTED_VALUE"""),"Дмитрий")</f>
        <v>Дмитрий</v>
      </c>
      <c r="D221" t="str">
        <f ca="1">IFERROR(__xludf.DUMMYFUNCTION("""COMPUTED_VALUE"""),"Школа 365")</f>
        <v>Школа 365</v>
      </c>
      <c r="E221" s="5">
        <f ca="1">IFERROR(__xludf.DUMMYFUNCTION("""COMPUTED_VALUE"""),7)</f>
        <v>7</v>
      </c>
      <c r="F221" s="5">
        <f ca="1">IFERROR(__xludf.DUMMYFUNCTION("""COMPUTED_VALUE"""),3)</f>
        <v>3</v>
      </c>
      <c r="G221" s="5"/>
      <c r="H221" s="5"/>
      <c r="I221" s="5"/>
      <c r="J221" s="5"/>
      <c r="K221" s="5"/>
      <c r="L221" s="5"/>
      <c r="M221">
        <f ca="1">IFERROR(__xludf.DUMMYFUNCTION("""COMPUTED_VALUE"""),10)</f>
        <v>10</v>
      </c>
      <c r="N221" s="8"/>
    </row>
    <row r="222" spans="1:14" ht="12.45" hidden="1">
      <c r="A222" t="str">
        <f ca="1">IFERROR(__xludf.DUMMYFUNCTION("""COMPUTED_VALUE"""),"V-4-432")</f>
        <v>V-4-432</v>
      </c>
      <c r="B222" t="str">
        <f ca="1">IFERROR(__xludf.DUMMYFUNCTION("""COMPUTED_VALUE"""),"Соломонова")</f>
        <v>Соломонова</v>
      </c>
      <c r="C222" t="str">
        <f ca="1">IFERROR(__xludf.DUMMYFUNCTION("""COMPUTED_VALUE"""),"Виктория")</f>
        <v>Виктория</v>
      </c>
      <c r="D222" t="str">
        <f ca="1">IFERROR(__xludf.DUMMYFUNCTION("""COMPUTED_VALUE"""),"Школа 598")</f>
        <v>Школа 598</v>
      </c>
      <c r="E222" s="5">
        <f ca="1">IFERROR(__xludf.DUMMYFUNCTION("""COMPUTED_VALUE"""),7)</f>
        <v>7</v>
      </c>
      <c r="F222" s="5">
        <f ca="1">IFERROR(__xludf.DUMMYFUNCTION("""COMPUTED_VALUE"""),3)</f>
        <v>3</v>
      </c>
      <c r="G222" s="5"/>
      <c r="H222" s="5"/>
      <c r="I222" s="5"/>
      <c r="J222" s="5"/>
      <c r="K222" s="5"/>
      <c r="L222" s="5"/>
      <c r="M222">
        <f ca="1">IFERROR(__xludf.DUMMYFUNCTION("""COMPUTED_VALUE"""),10)</f>
        <v>10</v>
      </c>
      <c r="N222" s="8"/>
    </row>
    <row r="223" spans="1:14" ht="12.45" hidden="1">
      <c r="A223" t="str">
        <f ca="1">IFERROR(__xludf.DUMMYFUNCTION("""COMPUTED_VALUE"""),"V-4-439")</f>
        <v>V-4-439</v>
      </c>
      <c r="B223" t="str">
        <f ca="1">IFERROR(__xludf.DUMMYFUNCTION("""COMPUTED_VALUE"""),"Стародубцев")</f>
        <v>Стародубцев</v>
      </c>
      <c r="C223" t="str">
        <f ca="1">IFERROR(__xludf.DUMMYFUNCTION("""COMPUTED_VALUE"""),"Кирилл")</f>
        <v>Кирилл</v>
      </c>
      <c r="D223" t="str">
        <f ca="1">IFERROR(__xludf.DUMMYFUNCTION("""COMPUTED_VALUE"""),"Школа 643")</f>
        <v>Школа 643</v>
      </c>
      <c r="E223" s="5">
        <f ca="1">IFERROR(__xludf.DUMMYFUNCTION("""COMPUTED_VALUE"""),7)</f>
        <v>7</v>
      </c>
      <c r="F223" s="5">
        <f ca="1">IFERROR(__xludf.DUMMYFUNCTION("""COMPUTED_VALUE"""),3)</f>
        <v>3</v>
      </c>
      <c r="G223" s="5"/>
      <c r="H223" s="5"/>
      <c r="I223" s="5"/>
      <c r="J223" s="5"/>
      <c r="K223" s="5"/>
      <c r="L223" s="5"/>
      <c r="M223">
        <f ca="1">IFERROR(__xludf.DUMMYFUNCTION("""COMPUTED_VALUE"""),10)</f>
        <v>10</v>
      </c>
      <c r="N223" s="8"/>
    </row>
    <row r="224" spans="1:14" ht="12.45" hidden="1">
      <c r="A224" t="str">
        <f ca="1">IFERROR(__xludf.DUMMYFUNCTION("""COMPUTED_VALUE"""),"V-4-445")</f>
        <v>V-4-445</v>
      </c>
      <c r="B224" t="str">
        <f ca="1">IFERROR(__xludf.DUMMYFUNCTION("""COMPUTED_VALUE"""),"Стоцкая")</f>
        <v>Стоцкая</v>
      </c>
      <c r="C224" t="str">
        <f ca="1">IFERROR(__xludf.DUMMYFUNCTION("""COMPUTED_VALUE"""),"Светлана")</f>
        <v>Светлана</v>
      </c>
      <c r="D224" t="str">
        <f ca="1">IFERROR(__xludf.DUMMYFUNCTION("""COMPUTED_VALUE"""),"Лицей ПАСКАЛЬ ЛИЦЕЙ")</f>
        <v>Лицей ПАСКАЛЬ ЛИЦЕЙ</v>
      </c>
      <c r="E224" s="5">
        <f ca="1">IFERROR(__xludf.DUMMYFUNCTION("""COMPUTED_VALUE"""),7)</f>
        <v>7</v>
      </c>
      <c r="F224" s="5">
        <f ca="1">IFERROR(__xludf.DUMMYFUNCTION("""COMPUTED_VALUE"""),3)</f>
        <v>3</v>
      </c>
      <c r="G224" s="5"/>
      <c r="H224" s="5"/>
      <c r="I224" s="5"/>
      <c r="J224" s="5"/>
      <c r="K224" s="5"/>
      <c r="L224" s="5"/>
      <c r="M224">
        <f ca="1">IFERROR(__xludf.DUMMYFUNCTION("""COMPUTED_VALUE"""),10)</f>
        <v>10</v>
      </c>
      <c r="N224" s="8"/>
    </row>
    <row r="225" spans="1:14" ht="12.45" hidden="1">
      <c r="A225" t="str">
        <f ca="1">IFERROR(__xludf.DUMMYFUNCTION("""COMPUTED_VALUE"""),"V-4-493")</f>
        <v>V-4-493</v>
      </c>
      <c r="B225" t="str">
        <f ca="1">IFERROR(__xludf.DUMMYFUNCTION("""COMPUTED_VALUE"""),"Чичикалюк")</f>
        <v>Чичикалюк</v>
      </c>
      <c r="C225" t="str">
        <f ca="1">IFERROR(__xludf.DUMMYFUNCTION("""COMPUTED_VALUE"""),"Вадим")</f>
        <v>Вадим</v>
      </c>
      <c r="D225" t="str">
        <f ca="1">IFERROR(__xludf.DUMMYFUNCTION("""COMPUTED_VALUE"""),"Гимназия 116")</f>
        <v>Гимназия 116</v>
      </c>
      <c r="E225" s="5">
        <f ca="1">IFERROR(__xludf.DUMMYFUNCTION("""COMPUTED_VALUE"""),7)</f>
        <v>7</v>
      </c>
      <c r="F225" s="5"/>
      <c r="G225" s="5">
        <f ca="1">IFERROR(__xludf.DUMMYFUNCTION("""COMPUTED_VALUE"""),1)</f>
        <v>1</v>
      </c>
      <c r="H225" s="5"/>
      <c r="I225" s="5">
        <f ca="1">IFERROR(__xludf.DUMMYFUNCTION("""COMPUTED_VALUE"""),2)</f>
        <v>2</v>
      </c>
      <c r="J225" s="5"/>
      <c r="K225" s="5"/>
      <c r="L225" s="5"/>
      <c r="M225">
        <f ca="1">IFERROR(__xludf.DUMMYFUNCTION("""COMPUTED_VALUE"""),10)</f>
        <v>10</v>
      </c>
      <c r="N225" s="8"/>
    </row>
    <row r="226" spans="1:14" ht="12.45" hidden="1">
      <c r="A226" t="str">
        <f ca="1">IFERROR(__xludf.DUMMYFUNCTION("""COMPUTED_VALUE"""),"V-4-496")</f>
        <v>V-4-496</v>
      </c>
      <c r="B226" t="str">
        <f ca="1">IFERROR(__xludf.DUMMYFUNCTION("""COMPUTED_VALUE"""),"Шапошников")</f>
        <v>Шапошников</v>
      </c>
      <c r="C226" t="str">
        <f ca="1">IFERROR(__xludf.DUMMYFUNCTION("""COMPUTED_VALUE"""),"Арсений")</f>
        <v>Арсений</v>
      </c>
      <c r="D226" t="str">
        <f ca="1">IFERROR(__xludf.DUMMYFUNCTION("""COMPUTED_VALUE"""),"Гимназия 406")</f>
        <v>Гимназия 406</v>
      </c>
      <c r="E226" s="5">
        <f ca="1">IFERROR(__xludf.DUMMYFUNCTION("""COMPUTED_VALUE"""),7)</f>
        <v>7</v>
      </c>
      <c r="F226" s="5">
        <f ca="1">IFERROR(__xludf.DUMMYFUNCTION("""COMPUTED_VALUE"""),3)</f>
        <v>3</v>
      </c>
      <c r="G226" s="5"/>
      <c r="H226" s="5"/>
      <c r="I226" s="5"/>
      <c r="J226" s="5"/>
      <c r="K226" s="5"/>
      <c r="L226" s="5"/>
      <c r="M226">
        <f ca="1">IFERROR(__xludf.DUMMYFUNCTION("""COMPUTED_VALUE"""),10)</f>
        <v>10</v>
      </c>
      <c r="N226" s="8"/>
    </row>
    <row r="227" spans="1:14" ht="12.45" hidden="1">
      <c r="A227" t="str">
        <f ca="1">IFERROR(__xludf.DUMMYFUNCTION("""COMPUTED_VALUE"""),"V-4-510")</f>
        <v>V-4-510</v>
      </c>
      <c r="B227" t="str">
        <f ca="1">IFERROR(__xludf.DUMMYFUNCTION("""COMPUTED_VALUE"""),"Шишигина")</f>
        <v>Шишигина</v>
      </c>
      <c r="C227" t="str">
        <f ca="1">IFERROR(__xludf.DUMMYFUNCTION("""COMPUTED_VALUE"""),"Дарья")</f>
        <v>Дарья</v>
      </c>
      <c r="D227" t="str">
        <f ca="1">IFERROR(__xludf.DUMMYFUNCTION("""COMPUTED_VALUE"""),"Гимназия 271")</f>
        <v>Гимназия 271</v>
      </c>
      <c r="E227" s="5">
        <f ca="1">IFERROR(__xludf.DUMMYFUNCTION("""COMPUTED_VALUE"""),7)</f>
        <v>7</v>
      </c>
      <c r="F227" s="5">
        <f ca="1">IFERROR(__xludf.DUMMYFUNCTION("""COMPUTED_VALUE"""),3)</f>
        <v>3</v>
      </c>
      <c r="G227" s="5"/>
      <c r="H227" s="5"/>
      <c r="I227" s="5"/>
      <c r="J227" s="5"/>
      <c r="K227" s="5"/>
      <c r="L227" s="5"/>
      <c r="M227">
        <f ca="1">IFERROR(__xludf.DUMMYFUNCTION("""COMPUTED_VALUE"""),10)</f>
        <v>10</v>
      </c>
      <c r="N227" s="8"/>
    </row>
    <row r="228" spans="1:14" ht="12.45" hidden="1">
      <c r="A228" t="str">
        <f ca="1">IFERROR(__xludf.DUMMYFUNCTION("""COMPUTED_VALUE"""),"V-4-513")</f>
        <v>V-4-513</v>
      </c>
      <c r="B228" t="str">
        <f ca="1">IFERROR(__xludf.DUMMYFUNCTION("""COMPUTED_VALUE"""),"Шмелев")</f>
        <v>Шмелев</v>
      </c>
      <c r="C228" t="str">
        <f ca="1">IFERROR(__xludf.DUMMYFUNCTION("""COMPUTED_VALUE"""),"Роман")</f>
        <v>Роман</v>
      </c>
      <c r="D228" t="str">
        <f ca="1">IFERROR(__xludf.DUMMYFUNCTION("""COMPUTED_VALUE"""),"Гимназия Квадривиум")</f>
        <v>Гимназия Квадривиум</v>
      </c>
      <c r="E228" s="5">
        <f ca="1">IFERROR(__xludf.DUMMYFUNCTION("""COMPUTED_VALUE"""),7)</f>
        <v>7</v>
      </c>
      <c r="F228" s="5">
        <f ca="1">IFERROR(__xludf.DUMMYFUNCTION("""COMPUTED_VALUE"""),3)</f>
        <v>3</v>
      </c>
      <c r="G228" s="5"/>
      <c r="H228" s="5"/>
      <c r="I228" s="5"/>
      <c r="J228" s="5"/>
      <c r="K228" s="5"/>
      <c r="L228" s="5"/>
      <c r="M228">
        <f ca="1">IFERROR(__xludf.DUMMYFUNCTION("""COMPUTED_VALUE"""),10)</f>
        <v>10</v>
      </c>
      <c r="N228" s="8"/>
    </row>
    <row r="229" spans="1:14" ht="12.45" hidden="1">
      <c r="A229" t="str">
        <f ca="1">IFERROR(__xludf.DUMMYFUNCTION("""COMPUTED_VALUE"""),"V-4-514")</f>
        <v>V-4-514</v>
      </c>
      <c r="B229" t="str">
        <f ca="1">IFERROR(__xludf.DUMMYFUNCTION("""COMPUTED_VALUE"""),"Шмуилов")</f>
        <v>Шмуилов</v>
      </c>
      <c r="C229" t="str">
        <f ca="1">IFERROR(__xludf.DUMMYFUNCTION("""COMPUTED_VALUE"""),"Константин")</f>
        <v>Константин</v>
      </c>
      <c r="D229" t="str">
        <f ca="1">IFERROR(__xludf.DUMMYFUNCTION("""COMPUTED_VALUE"""),"Школа 534")</f>
        <v>Школа 534</v>
      </c>
      <c r="E229" s="5">
        <f ca="1">IFERROR(__xludf.DUMMYFUNCTION("""COMPUTED_VALUE"""),7)</f>
        <v>7</v>
      </c>
      <c r="F229" s="5">
        <f ca="1">IFERROR(__xludf.DUMMYFUNCTION("""COMPUTED_VALUE"""),3)</f>
        <v>3</v>
      </c>
      <c r="G229" s="5"/>
      <c r="H229" s="5"/>
      <c r="I229" s="5"/>
      <c r="J229" s="5"/>
      <c r="K229" s="5"/>
      <c r="L229" s="5"/>
      <c r="M229">
        <f ca="1">IFERROR(__xludf.DUMMYFUNCTION("""COMPUTED_VALUE"""),10)</f>
        <v>10</v>
      </c>
      <c r="N229" s="8"/>
    </row>
    <row r="230" spans="1:14" ht="12.45" hidden="1">
      <c r="A230" t="str">
        <f ca="1">IFERROR(__xludf.DUMMYFUNCTION("""COMPUTED_VALUE"""),"III-4-014")</f>
        <v>III-4-014</v>
      </c>
      <c r="B230" t="str">
        <f ca="1">IFERROR(__xludf.DUMMYFUNCTION("""COMPUTED_VALUE"""),"Антонов")</f>
        <v>Антонов</v>
      </c>
      <c r="C230" t="str">
        <f ca="1">IFERROR(__xludf.DUMMYFUNCTION("""COMPUTED_VALUE"""),"Алексей")</f>
        <v>Алексей</v>
      </c>
      <c r="D230" t="str">
        <f ca="1">IFERROR(__xludf.DUMMYFUNCTION("""COMPUTED_VALUE"""),"Гимназия 70")</f>
        <v>Гимназия 70</v>
      </c>
      <c r="E230" s="5">
        <f ca="1">IFERROR(__xludf.DUMMYFUNCTION("""COMPUTED_VALUE"""),7)</f>
        <v>7</v>
      </c>
      <c r="F230" s="5">
        <f ca="1">IFERROR(__xludf.DUMMYFUNCTION("""COMPUTED_VALUE"""),2)</f>
        <v>2</v>
      </c>
      <c r="G230" s="5"/>
      <c r="H230" s="5"/>
      <c r="I230" s="5"/>
      <c r="J230" s="5"/>
      <c r="K230" s="5"/>
      <c r="L230" s="5"/>
      <c r="M230">
        <f ca="1">IFERROR(__xludf.DUMMYFUNCTION("""COMPUTED_VALUE"""),9)</f>
        <v>9</v>
      </c>
      <c r="N230" s="8"/>
    </row>
    <row r="231" spans="1:14" ht="12.45" hidden="1">
      <c r="A231" t="str">
        <f ca="1">IFERROR(__xludf.DUMMYFUNCTION("""COMPUTED_VALUE"""),"III-4-082")</f>
        <v>III-4-082</v>
      </c>
      <c r="B231" t="str">
        <f ca="1">IFERROR(__xludf.DUMMYFUNCTION("""COMPUTED_VALUE"""),"Варежников")</f>
        <v>Варежников</v>
      </c>
      <c r="C231" t="str">
        <f ca="1">IFERROR(__xludf.DUMMYFUNCTION("""COMPUTED_VALUE"""),"Егор")</f>
        <v>Егор</v>
      </c>
      <c r="D231" t="str">
        <f ca="1">IFERROR(__xludf.DUMMYFUNCTION("""COMPUTED_VALUE"""),"Лицей 150")</f>
        <v>Лицей 150</v>
      </c>
      <c r="E231" s="5">
        <f ca="1">IFERROR(__xludf.DUMMYFUNCTION("""COMPUTED_VALUE"""),7)</f>
        <v>7</v>
      </c>
      <c r="F231" s="5">
        <f ca="1">IFERROR(__xludf.DUMMYFUNCTION("""COMPUTED_VALUE"""),2)</f>
        <v>2</v>
      </c>
      <c r="G231" s="5"/>
      <c r="H231" s="5"/>
      <c r="I231" s="5"/>
      <c r="J231" s="5"/>
      <c r="K231" s="5"/>
      <c r="L231" s="5"/>
      <c r="M231">
        <f ca="1">IFERROR(__xludf.DUMMYFUNCTION("""COMPUTED_VALUE"""),9)</f>
        <v>9</v>
      </c>
      <c r="N231" s="8"/>
    </row>
    <row r="232" spans="1:14" ht="12.45" hidden="1">
      <c r="A232" t="str">
        <f ca="1">IFERROR(__xludf.DUMMYFUNCTION("""COMPUTED_VALUE"""),"III-4-129")</f>
        <v>III-4-129</v>
      </c>
      <c r="B232" t="str">
        <f ca="1">IFERROR(__xludf.DUMMYFUNCTION("""COMPUTED_VALUE"""),"Горовая")</f>
        <v>Горовая</v>
      </c>
      <c r="C232" t="str">
        <f ca="1">IFERROR(__xludf.DUMMYFUNCTION("""COMPUTED_VALUE"""),"Вера")</f>
        <v>Вера</v>
      </c>
      <c r="D232" t="str">
        <f ca="1">IFERROR(__xludf.DUMMYFUNCTION("""COMPUTED_VALUE"""),"Школа 206")</f>
        <v>Школа 206</v>
      </c>
      <c r="E232" s="5"/>
      <c r="F232" s="5">
        <f ca="1">IFERROR(__xludf.DUMMYFUNCTION("""COMPUTED_VALUE"""),5)</f>
        <v>5</v>
      </c>
      <c r="G232" s="5"/>
      <c r="H232" s="5"/>
      <c r="I232" s="5">
        <f ca="1">IFERROR(__xludf.DUMMYFUNCTION("""COMPUTED_VALUE"""),4)</f>
        <v>4</v>
      </c>
      <c r="J232" s="5"/>
      <c r="K232" s="5"/>
      <c r="L232" s="5"/>
      <c r="M232">
        <f ca="1">IFERROR(__xludf.DUMMYFUNCTION("""COMPUTED_VALUE"""),9)</f>
        <v>9</v>
      </c>
      <c r="N232" s="8"/>
    </row>
    <row r="233" spans="1:14" ht="12.45" hidden="1">
      <c r="A233" t="str">
        <f ca="1">IFERROR(__xludf.DUMMYFUNCTION("""COMPUTED_VALUE"""),"III-4-136")</f>
        <v>III-4-136</v>
      </c>
      <c r="B233" t="str">
        <f ca="1">IFERROR(__xludf.DUMMYFUNCTION("""COMPUTED_VALUE"""),"Григорьева")</f>
        <v>Григорьева</v>
      </c>
      <c r="C233" t="str">
        <f ca="1">IFERROR(__xludf.DUMMYFUNCTION("""COMPUTED_VALUE"""),"Ульяна")</f>
        <v>Ульяна</v>
      </c>
      <c r="D233" t="str">
        <f ca="1">IFERROR(__xludf.DUMMYFUNCTION("""COMPUTED_VALUE"""),"Школа 113")</f>
        <v>Школа 113</v>
      </c>
      <c r="E233" s="5">
        <f ca="1">IFERROR(__xludf.DUMMYFUNCTION("""COMPUTED_VALUE"""),7)</f>
        <v>7</v>
      </c>
      <c r="F233" s="5"/>
      <c r="G233" s="5"/>
      <c r="H233" s="5"/>
      <c r="I233" s="5">
        <f ca="1">IFERROR(__xludf.DUMMYFUNCTION("""COMPUTED_VALUE"""),2)</f>
        <v>2</v>
      </c>
      <c r="J233" s="5"/>
      <c r="K233" s="5"/>
      <c r="L233" s="5"/>
      <c r="M233">
        <f ca="1">IFERROR(__xludf.DUMMYFUNCTION("""COMPUTED_VALUE"""),9)</f>
        <v>9</v>
      </c>
      <c r="N233" s="8"/>
    </row>
    <row r="234" spans="1:14" ht="12.45" hidden="1">
      <c r="A234" t="str">
        <f ca="1">IFERROR(__xludf.DUMMYFUNCTION("""COMPUTED_VALUE"""),"III-4-147")</f>
        <v>III-4-147</v>
      </c>
      <c r="B234" t="str">
        <f ca="1">IFERROR(__xludf.DUMMYFUNCTION("""COMPUTED_VALUE"""),"Девянин")</f>
        <v>Девянин</v>
      </c>
      <c r="C234" t="str">
        <f ca="1">IFERROR(__xludf.DUMMYFUNCTION("""COMPUTED_VALUE"""),"Захар")</f>
        <v>Захар</v>
      </c>
      <c r="D234" t="str">
        <f ca="1">IFERROR(__xludf.DUMMYFUNCTION("""COMPUTED_VALUE"""),"Школа 489")</f>
        <v>Школа 489</v>
      </c>
      <c r="E234" s="5">
        <f ca="1">IFERROR(__xludf.DUMMYFUNCTION("""COMPUTED_VALUE"""),2)</f>
        <v>2</v>
      </c>
      <c r="F234" s="5">
        <f ca="1">IFERROR(__xludf.DUMMYFUNCTION("""COMPUTED_VALUE"""),7)</f>
        <v>7</v>
      </c>
      <c r="G234" s="5"/>
      <c r="H234" s="5"/>
      <c r="I234" s="5"/>
      <c r="J234" s="5"/>
      <c r="K234" s="5"/>
      <c r="L234" s="5"/>
      <c r="M234">
        <f ca="1">IFERROR(__xludf.DUMMYFUNCTION("""COMPUTED_VALUE"""),9)</f>
        <v>9</v>
      </c>
      <c r="N234" s="8"/>
    </row>
    <row r="235" spans="1:14" ht="12.45" hidden="1">
      <c r="A235" t="str">
        <f ca="1">IFERROR(__xludf.DUMMYFUNCTION("""COMPUTED_VALUE"""),"III-4-149")</f>
        <v>III-4-149</v>
      </c>
      <c r="B235" t="str">
        <f ca="1">IFERROR(__xludf.DUMMYFUNCTION("""COMPUTED_VALUE"""),"Дейнеко")</f>
        <v>Дейнеко</v>
      </c>
      <c r="C235" t="str">
        <f ca="1">IFERROR(__xludf.DUMMYFUNCTION("""COMPUTED_VALUE"""),"Владимир")</f>
        <v>Владимир</v>
      </c>
      <c r="D235" t="str">
        <f ca="1">IFERROR(__xludf.DUMMYFUNCTION("""COMPUTED_VALUE"""),"Школа МОУ Всеволожский ЦО")</f>
        <v>Школа МОУ Всеволожский ЦО</v>
      </c>
      <c r="E235" s="5">
        <f ca="1">IFERROR(__xludf.DUMMYFUNCTION("""COMPUTED_VALUE"""),7)</f>
        <v>7</v>
      </c>
      <c r="F235" s="5">
        <f ca="1">IFERROR(__xludf.DUMMYFUNCTION("""COMPUTED_VALUE"""),2)</f>
        <v>2</v>
      </c>
      <c r="G235" s="5"/>
      <c r="H235" s="5"/>
      <c r="I235" s="5"/>
      <c r="J235" s="5"/>
      <c r="K235" s="5"/>
      <c r="L235" s="5"/>
      <c r="M235">
        <f ca="1">IFERROR(__xludf.DUMMYFUNCTION("""COMPUTED_VALUE"""),9)</f>
        <v>9</v>
      </c>
      <c r="N235" s="8"/>
    </row>
    <row r="236" spans="1:14" ht="12.45" hidden="1">
      <c r="A236" t="str">
        <f ca="1">IFERROR(__xludf.DUMMYFUNCTION("""COMPUTED_VALUE"""),"III-4-154")</f>
        <v>III-4-154</v>
      </c>
      <c r="B236" t="str">
        <f ca="1">IFERROR(__xludf.DUMMYFUNCTION("""COMPUTED_VALUE"""),"Деришев")</f>
        <v>Деришев</v>
      </c>
      <c r="C236" t="str">
        <f ca="1">IFERROR(__xludf.DUMMYFUNCTION("""COMPUTED_VALUE"""),"Александр")</f>
        <v>Александр</v>
      </c>
      <c r="D236" t="str">
        <f ca="1">IFERROR(__xludf.DUMMYFUNCTION("""COMPUTED_VALUE"""),"Школа 655")</f>
        <v>Школа 655</v>
      </c>
      <c r="E236" s="5">
        <f ca="1">IFERROR(__xludf.DUMMYFUNCTION("""COMPUTED_VALUE"""),7)</f>
        <v>7</v>
      </c>
      <c r="F236" s="5"/>
      <c r="G236" s="5"/>
      <c r="H236" s="5">
        <f ca="1">IFERROR(__xludf.DUMMYFUNCTION("""COMPUTED_VALUE"""),2)</f>
        <v>2</v>
      </c>
      <c r="I236" s="5"/>
      <c r="J236" s="5"/>
      <c r="K236" s="5"/>
      <c r="L236" s="5"/>
      <c r="M236">
        <f ca="1">IFERROR(__xludf.DUMMYFUNCTION("""COMPUTED_VALUE"""),9)</f>
        <v>9</v>
      </c>
      <c r="N236" s="8"/>
    </row>
    <row r="237" spans="1:14" ht="12.45">
      <c r="A237" t="str">
        <f ca="1">IFERROR(__xludf.DUMMYFUNCTION("""COMPUTED_VALUE"""),"III-4-156")</f>
        <v>III-4-156</v>
      </c>
      <c r="B237" t="str">
        <f ca="1">IFERROR(__xludf.DUMMYFUNCTION("""COMPUTED_VALUE"""),"Дондокова")</f>
        <v>Дондокова</v>
      </c>
      <c r="C237" t="str">
        <f ca="1">IFERROR(__xludf.DUMMYFUNCTION("""COMPUTED_VALUE"""),"Адиса")</f>
        <v>Адиса</v>
      </c>
      <c r="D237" t="str">
        <f ca="1">IFERROR(__xludf.DUMMYFUNCTION("""COMPUTED_VALUE"""),"Гимназия Лингвистическая гимназия 3")</f>
        <v>Гимназия Лингвистическая гимназия 3</v>
      </c>
      <c r="E237" s="5"/>
      <c r="F237" s="5">
        <f ca="1">IFERROR(__xludf.DUMMYFUNCTION("""COMPUTED_VALUE"""),7)</f>
        <v>7</v>
      </c>
      <c r="G237" s="5">
        <f ca="1">IFERROR(__xludf.DUMMYFUNCTION("""COMPUTED_VALUE"""),2)</f>
        <v>2</v>
      </c>
      <c r="H237" s="5"/>
      <c r="I237" s="5"/>
      <c r="J237" s="5"/>
      <c r="K237" s="5"/>
      <c r="L237" s="5"/>
      <c r="M237">
        <f ca="1">IFERROR(__xludf.DUMMYFUNCTION("""COMPUTED_VALUE"""),9)</f>
        <v>9</v>
      </c>
      <c r="N237" s="8"/>
    </row>
    <row r="238" spans="1:14" ht="12.45" hidden="1">
      <c r="A238" t="str">
        <f ca="1">IFERROR(__xludf.DUMMYFUNCTION("""COMPUTED_VALUE"""),"III-4-172")</f>
        <v>III-4-172</v>
      </c>
      <c r="B238" t="str">
        <f ca="1">IFERROR(__xludf.DUMMYFUNCTION("""COMPUTED_VALUE"""),"Ефимов")</f>
        <v>Ефимов</v>
      </c>
      <c r="C238" t="str">
        <f ca="1">IFERROR(__xludf.DUMMYFUNCTION("""COMPUTED_VALUE"""),"Илья")</f>
        <v>Илья</v>
      </c>
      <c r="D238" t="str">
        <f ca="1">IFERROR(__xludf.DUMMYFUNCTION("""COMPUTED_VALUE"""),"Лицей 179")</f>
        <v>Лицей 179</v>
      </c>
      <c r="E238" s="5">
        <f ca="1">IFERROR(__xludf.DUMMYFUNCTION("""COMPUTED_VALUE"""),7)</f>
        <v>7</v>
      </c>
      <c r="F238" s="5"/>
      <c r="G238" s="5"/>
      <c r="H238" s="5"/>
      <c r="I238" s="5">
        <f ca="1">IFERROR(__xludf.DUMMYFUNCTION("""COMPUTED_VALUE"""),2)</f>
        <v>2</v>
      </c>
      <c r="J238" s="5"/>
      <c r="K238" s="5"/>
      <c r="L238" s="5"/>
      <c r="M238">
        <f ca="1">IFERROR(__xludf.DUMMYFUNCTION("""COMPUTED_VALUE"""),9)</f>
        <v>9</v>
      </c>
      <c r="N238" s="8"/>
    </row>
    <row r="239" spans="1:14" ht="12.45" hidden="1">
      <c r="A239" t="str">
        <f ca="1">IFERROR(__xludf.DUMMYFUNCTION("""COMPUTED_VALUE"""),"III-4-188")</f>
        <v>III-4-188</v>
      </c>
      <c r="B239" t="str">
        <f ca="1">IFERROR(__xludf.DUMMYFUNCTION("""COMPUTED_VALUE"""),"Золотухин")</f>
        <v>Золотухин</v>
      </c>
      <c r="C239" t="str">
        <f ca="1">IFERROR(__xludf.DUMMYFUNCTION("""COMPUTED_VALUE"""),"Никита")</f>
        <v>Никита</v>
      </c>
      <c r="D239" t="str">
        <f ca="1">IFERROR(__xludf.DUMMYFUNCTION("""COMPUTED_VALUE"""),"Школа Кузьмоловкая 1")</f>
        <v>Школа Кузьмоловкая 1</v>
      </c>
      <c r="E239" s="5">
        <f ca="1">IFERROR(__xludf.DUMMYFUNCTION("""COMPUTED_VALUE"""),7)</f>
        <v>7</v>
      </c>
      <c r="F239" s="5"/>
      <c r="G239" s="5"/>
      <c r="H239" s="5"/>
      <c r="I239" s="5">
        <f ca="1">IFERROR(__xludf.DUMMYFUNCTION("""COMPUTED_VALUE"""),2)</f>
        <v>2</v>
      </c>
      <c r="J239" s="5"/>
      <c r="K239" s="5"/>
      <c r="L239" s="5"/>
      <c r="M239">
        <f ca="1">IFERROR(__xludf.DUMMYFUNCTION("""COMPUTED_VALUE"""),9)</f>
        <v>9</v>
      </c>
      <c r="N239" s="8"/>
    </row>
    <row r="240" spans="1:14" ht="12.45" hidden="1">
      <c r="A240" t="str">
        <f ca="1">IFERROR(__xludf.DUMMYFUNCTION("""COMPUTED_VALUE"""),"III-4-199")</f>
        <v>III-4-199</v>
      </c>
      <c r="B240" t="str">
        <f ca="1">IFERROR(__xludf.DUMMYFUNCTION("""COMPUTED_VALUE"""),"Игнатов")</f>
        <v>Игнатов</v>
      </c>
      <c r="C240" t="str">
        <f ca="1">IFERROR(__xludf.DUMMYFUNCTION("""COMPUTED_VALUE"""),"Александр")</f>
        <v>Александр</v>
      </c>
      <c r="D240" t="str">
        <f ca="1">IFERROR(__xludf.DUMMYFUNCTION("""COMPUTED_VALUE"""),"Школа 45")</f>
        <v>Школа 45</v>
      </c>
      <c r="E240" s="5">
        <f ca="1">IFERROR(__xludf.DUMMYFUNCTION("""COMPUTED_VALUE"""),7)</f>
        <v>7</v>
      </c>
      <c r="F240" s="5"/>
      <c r="G240" s="5"/>
      <c r="H240" s="5"/>
      <c r="I240" s="5">
        <f ca="1">IFERROR(__xludf.DUMMYFUNCTION("""COMPUTED_VALUE"""),2)</f>
        <v>2</v>
      </c>
      <c r="J240" s="5"/>
      <c r="K240" s="5"/>
      <c r="L240" s="5"/>
      <c r="M240">
        <f ca="1">IFERROR(__xludf.DUMMYFUNCTION("""COMPUTED_VALUE"""),9)</f>
        <v>9</v>
      </c>
      <c r="N240" s="8"/>
    </row>
    <row r="241" spans="1:14" ht="12.45" hidden="1">
      <c r="A241" t="str">
        <f ca="1">IFERROR(__xludf.DUMMYFUNCTION("""COMPUTED_VALUE"""),"III-4-218")</f>
        <v>III-4-218</v>
      </c>
      <c r="B241" t="str">
        <f ca="1">IFERROR(__xludf.DUMMYFUNCTION("""COMPUTED_VALUE"""),"Квитко")</f>
        <v>Квитко</v>
      </c>
      <c r="C241" t="str">
        <f ca="1">IFERROR(__xludf.DUMMYFUNCTION("""COMPUTED_VALUE"""),"Филипп")</f>
        <v>Филипп</v>
      </c>
      <c r="D241" t="str">
        <f ca="1">IFERROR(__xludf.DUMMYFUNCTION("""COMPUTED_VALUE"""),"Гимназия 166")</f>
        <v>Гимназия 166</v>
      </c>
      <c r="E241" s="5">
        <f ca="1">IFERROR(__xludf.DUMMYFUNCTION("""COMPUTED_VALUE"""),2)</f>
        <v>2</v>
      </c>
      <c r="F241" s="5">
        <f ca="1">IFERROR(__xludf.DUMMYFUNCTION("""COMPUTED_VALUE"""),7)</f>
        <v>7</v>
      </c>
      <c r="G241" s="5"/>
      <c r="H241" s="5"/>
      <c r="I241" s="5"/>
      <c r="J241" s="5"/>
      <c r="K241" s="5"/>
      <c r="L241" s="5"/>
      <c r="M241">
        <f ca="1">IFERROR(__xludf.DUMMYFUNCTION("""COMPUTED_VALUE"""),9)</f>
        <v>9</v>
      </c>
      <c r="N241" s="8"/>
    </row>
    <row r="242" spans="1:14" ht="12.45" hidden="1">
      <c r="A242" t="str">
        <f ca="1">IFERROR(__xludf.DUMMYFUNCTION("""COMPUTED_VALUE"""),"III-4-225")</f>
        <v>III-4-225</v>
      </c>
      <c r="B242" t="str">
        <f ca="1">IFERROR(__xludf.DUMMYFUNCTION("""COMPUTED_VALUE"""),"Климов")</f>
        <v>Климов</v>
      </c>
      <c r="C242" t="str">
        <f ca="1">IFERROR(__xludf.DUMMYFUNCTION("""COMPUTED_VALUE"""),"Семён")</f>
        <v>Семён</v>
      </c>
      <c r="D242" t="str">
        <f ca="1">IFERROR(__xludf.DUMMYFUNCTION("""COMPUTED_VALUE"""),"Школа 200")</f>
        <v>Школа 200</v>
      </c>
      <c r="E242" s="5">
        <f ca="1">IFERROR(__xludf.DUMMYFUNCTION("""COMPUTED_VALUE"""),2)</f>
        <v>2</v>
      </c>
      <c r="F242" s="5">
        <f ca="1">IFERROR(__xludf.DUMMYFUNCTION("""COMPUTED_VALUE"""),1)</f>
        <v>1</v>
      </c>
      <c r="G242" s="5">
        <f ca="1">IFERROR(__xludf.DUMMYFUNCTION("""COMPUTED_VALUE"""),4)</f>
        <v>4</v>
      </c>
      <c r="H242" s="5">
        <f ca="1">IFERROR(__xludf.DUMMYFUNCTION("""COMPUTED_VALUE"""),0)</f>
        <v>0</v>
      </c>
      <c r="I242" s="5">
        <f ca="1">IFERROR(__xludf.DUMMYFUNCTION("""COMPUTED_VALUE"""),2)</f>
        <v>2</v>
      </c>
      <c r="J242" s="5"/>
      <c r="K242" s="5"/>
      <c r="L242" s="5"/>
      <c r="M242">
        <f ca="1">IFERROR(__xludf.DUMMYFUNCTION("""COMPUTED_VALUE"""),9)</f>
        <v>9</v>
      </c>
      <c r="N242" s="8"/>
    </row>
    <row r="243" spans="1:14" ht="12.45" hidden="1">
      <c r="A243" t="str">
        <f ca="1">IFERROR(__xludf.DUMMYFUNCTION("""COMPUTED_VALUE"""),"III-4-234")</f>
        <v>III-4-234</v>
      </c>
      <c r="B243" t="str">
        <f ca="1">IFERROR(__xludf.DUMMYFUNCTION("""COMPUTED_VALUE"""),"Корзеева")</f>
        <v>Корзеева</v>
      </c>
      <c r="C243" t="str">
        <f ca="1">IFERROR(__xludf.DUMMYFUNCTION("""COMPUTED_VALUE"""),"Злата")</f>
        <v>Злата</v>
      </c>
      <c r="D243" t="str">
        <f ca="1">IFERROR(__xludf.DUMMYFUNCTION("""COMPUTED_VALUE"""),"Гимназия 107")</f>
        <v>Гимназия 107</v>
      </c>
      <c r="E243" s="5">
        <f ca="1">IFERROR(__xludf.DUMMYFUNCTION("""COMPUTED_VALUE"""),7)</f>
        <v>7</v>
      </c>
      <c r="F243" s="5"/>
      <c r="G243" s="5"/>
      <c r="H243" s="5"/>
      <c r="I243" s="5"/>
      <c r="J243" s="5">
        <f ca="1">IFERROR(__xludf.DUMMYFUNCTION("""COMPUTED_VALUE"""),2)</f>
        <v>2</v>
      </c>
      <c r="K243" s="5"/>
      <c r="L243" s="5"/>
      <c r="M243">
        <f ca="1">IFERROR(__xludf.DUMMYFUNCTION("""COMPUTED_VALUE"""),9)</f>
        <v>9</v>
      </c>
      <c r="N243" s="8"/>
    </row>
    <row r="244" spans="1:14" ht="12.45" hidden="1">
      <c r="A244" t="str">
        <f ca="1">IFERROR(__xludf.DUMMYFUNCTION("""COMPUTED_VALUE"""),"III-4-249")</f>
        <v>III-4-249</v>
      </c>
      <c r="B244" t="str">
        <f ca="1">IFERROR(__xludf.DUMMYFUNCTION("""COMPUTED_VALUE"""),"Кукса")</f>
        <v>Кукса</v>
      </c>
      <c r="C244" t="str">
        <f ca="1">IFERROR(__xludf.DUMMYFUNCTION("""COMPUTED_VALUE"""),"Максим")</f>
        <v>Максим</v>
      </c>
      <c r="D244" t="str">
        <f ca="1">IFERROR(__xludf.DUMMYFUNCTION("""COMPUTED_VALUE"""),"Школа 473")</f>
        <v>Школа 473</v>
      </c>
      <c r="E244" s="5">
        <f ca="1">IFERROR(__xludf.DUMMYFUNCTION("""COMPUTED_VALUE"""),7)</f>
        <v>7</v>
      </c>
      <c r="F244" s="5"/>
      <c r="G244" s="5"/>
      <c r="H244" s="5"/>
      <c r="I244" s="5">
        <f ca="1">IFERROR(__xludf.DUMMYFUNCTION("""COMPUTED_VALUE"""),2)</f>
        <v>2</v>
      </c>
      <c r="J244" s="5"/>
      <c r="K244" s="5"/>
      <c r="L244" s="5"/>
      <c r="M244">
        <f ca="1">IFERROR(__xludf.DUMMYFUNCTION("""COMPUTED_VALUE"""),9)</f>
        <v>9</v>
      </c>
      <c r="N244" s="8"/>
    </row>
    <row r="245" spans="1:14" ht="12.45" hidden="1">
      <c r="A245" t="str">
        <f ca="1">IFERROR(__xludf.DUMMYFUNCTION("""COMPUTED_VALUE"""),"III-4-261")</f>
        <v>III-4-261</v>
      </c>
      <c r="B245" t="str">
        <f ca="1">IFERROR(__xludf.DUMMYFUNCTION("""COMPUTED_VALUE"""),"Ласточкин")</f>
        <v>Ласточкин</v>
      </c>
      <c r="C245" t="str">
        <f ca="1">IFERROR(__xludf.DUMMYFUNCTION("""COMPUTED_VALUE"""),"Савва")</f>
        <v>Савва</v>
      </c>
      <c r="D245" t="str">
        <f ca="1">IFERROR(__xludf.DUMMYFUNCTION("""COMPUTED_VALUE"""),"Лицей 393")</f>
        <v>Лицей 393</v>
      </c>
      <c r="E245" s="5">
        <f ca="1">IFERROR(__xludf.DUMMYFUNCTION("""COMPUTED_VALUE"""),2)</f>
        <v>2</v>
      </c>
      <c r="F245" s="5">
        <f ca="1">IFERROR(__xludf.DUMMYFUNCTION("""COMPUTED_VALUE"""),7)</f>
        <v>7</v>
      </c>
      <c r="G245" s="5"/>
      <c r="H245" s="5"/>
      <c r="I245" s="5"/>
      <c r="J245" s="5"/>
      <c r="K245" s="5"/>
      <c r="L245" s="5"/>
      <c r="M245">
        <f ca="1">IFERROR(__xludf.DUMMYFUNCTION("""COMPUTED_VALUE"""),9)</f>
        <v>9</v>
      </c>
      <c r="N245" s="8"/>
    </row>
    <row r="246" spans="1:14" ht="12.45" hidden="1">
      <c r="A246" t="str">
        <f ca="1">IFERROR(__xludf.DUMMYFUNCTION("""COMPUTED_VALUE"""),"V-4-326")</f>
        <v>V-4-326</v>
      </c>
      <c r="B246" t="str">
        <f ca="1">IFERROR(__xludf.DUMMYFUNCTION("""COMPUTED_VALUE"""),"Новиков")</f>
        <v>Новиков</v>
      </c>
      <c r="C246" t="str">
        <f ca="1">IFERROR(__xludf.DUMMYFUNCTION("""COMPUTED_VALUE"""),"Вячеслав")</f>
        <v>Вячеслав</v>
      </c>
      <c r="D246" t="str">
        <f ca="1">IFERROR(__xludf.DUMMYFUNCTION("""COMPUTED_VALUE"""),"Школа 544")</f>
        <v>Школа 544</v>
      </c>
      <c r="E246" s="5">
        <f ca="1">IFERROR(__xludf.DUMMYFUNCTION("""COMPUTED_VALUE"""),7)</f>
        <v>7</v>
      </c>
      <c r="F246" s="5"/>
      <c r="G246" s="5">
        <f ca="1">IFERROR(__xludf.DUMMYFUNCTION("""COMPUTED_VALUE"""),2)</f>
        <v>2</v>
      </c>
      <c r="H246" s="5"/>
      <c r="I246" s="5"/>
      <c r="J246" s="5"/>
      <c r="K246" s="5"/>
      <c r="L246" s="5"/>
      <c r="M246">
        <f ca="1">IFERROR(__xludf.DUMMYFUNCTION("""COMPUTED_VALUE"""),9)</f>
        <v>9</v>
      </c>
      <c r="N246" s="8"/>
    </row>
    <row r="247" spans="1:14" ht="12.45" hidden="1">
      <c r="A247" t="str">
        <f ca="1">IFERROR(__xludf.DUMMYFUNCTION("""COMPUTED_VALUE"""),"V-4-365")</f>
        <v>V-4-365</v>
      </c>
      <c r="B247" t="str">
        <f ca="1">IFERROR(__xludf.DUMMYFUNCTION("""COMPUTED_VALUE"""),"Пономарева")</f>
        <v>Пономарева</v>
      </c>
      <c r="C247" t="str">
        <f ca="1">IFERROR(__xludf.DUMMYFUNCTION("""COMPUTED_VALUE"""),"Вера")</f>
        <v>Вера</v>
      </c>
      <c r="D247" t="str">
        <f ca="1">IFERROR(__xludf.DUMMYFUNCTION("""COMPUTED_VALUE"""),"Школа 440")</f>
        <v>Школа 440</v>
      </c>
      <c r="E247" s="5">
        <f ca="1">IFERROR(__xludf.DUMMYFUNCTION("""COMPUTED_VALUE"""),7)</f>
        <v>7</v>
      </c>
      <c r="F247" s="5"/>
      <c r="G247" s="5">
        <f ca="1">IFERROR(__xludf.DUMMYFUNCTION("""COMPUTED_VALUE"""),2)</f>
        <v>2</v>
      </c>
      <c r="H247" s="5"/>
      <c r="I247" s="5"/>
      <c r="J247" s="5"/>
      <c r="K247" s="5"/>
      <c r="L247" s="5"/>
      <c r="M247">
        <f ca="1">IFERROR(__xludf.DUMMYFUNCTION("""COMPUTED_VALUE"""),9)</f>
        <v>9</v>
      </c>
      <c r="N247" s="8"/>
    </row>
    <row r="248" spans="1:14" ht="12.45" hidden="1">
      <c r="A248" t="str">
        <f ca="1">IFERROR(__xludf.DUMMYFUNCTION("""COMPUTED_VALUE"""),"V-4-388")</f>
        <v>V-4-388</v>
      </c>
      <c r="B248" t="str">
        <f ca="1">IFERROR(__xludf.DUMMYFUNCTION("""COMPUTED_VALUE"""),"Родина")</f>
        <v>Родина</v>
      </c>
      <c r="C248" t="str">
        <f ca="1">IFERROR(__xludf.DUMMYFUNCTION("""COMPUTED_VALUE"""),"Мария")</f>
        <v>Мария</v>
      </c>
      <c r="D248" t="str">
        <f ca="1">IFERROR(__xludf.DUMMYFUNCTION("""COMPUTED_VALUE"""),"Школа 1")</f>
        <v>Школа 1</v>
      </c>
      <c r="E248" s="5">
        <f ca="1">IFERROR(__xludf.DUMMYFUNCTION("""COMPUTED_VALUE"""),7)</f>
        <v>7</v>
      </c>
      <c r="F248" s="5"/>
      <c r="G248" s="5"/>
      <c r="H248" s="5"/>
      <c r="I248" s="5">
        <f ca="1">IFERROR(__xludf.DUMMYFUNCTION("""COMPUTED_VALUE"""),2)</f>
        <v>2</v>
      </c>
      <c r="J248" s="5"/>
      <c r="K248" s="5"/>
      <c r="L248" s="5"/>
      <c r="M248">
        <f ca="1">IFERROR(__xludf.DUMMYFUNCTION("""COMPUTED_VALUE"""),9)</f>
        <v>9</v>
      </c>
      <c r="N248" s="8"/>
    </row>
    <row r="249" spans="1:14" ht="12.45" hidden="1">
      <c r="A249" t="str">
        <f ca="1">IFERROR(__xludf.DUMMYFUNCTION("""COMPUTED_VALUE"""),"V-4-490")</f>
        <v>V-4-490</v>
      </c>
      <c r="B249" t="str">
        <f ca="1">IFERROR(__xludf.DUMMYFUNCTION("""COMPUTED_VALUE"""),"Чижов")</f>
        <v>Чижов</v>
      </c>
      <c r="C249" t="str">
        <f ca="1">IFERROR(__xludf.DUMMYFUNCTION("""COMPUTED_VALUE"""),"Никита")</f>
        <v>Никита</v>
      </c>
      <c r="D249" t="str">
        <f ca="1">IFERROR(__xludf.DUMMYFUNCTION("""COMPUTED_VALUE"""),"Школа 321")</f>
        <v>Школа 321</v>
      </c>
      <c r="E249" s="5">
        <f ca="1">IFERROR(__xludf.DUMMYFUNCTION("""COMPUTED_VALUE"""),2)</f>
        <v>2</v>
      </c>
      <c r="F249" s="5">
        <f ca="1">IFERROR(__xludf.DUMMYFUNCTION("""COMPUTED_VALUE"""),7)</f>
        <v>7</v>
      </c>
      <c r="G249" s="5"/>
      <c r="H249" s="5"/>
      <c r="I249" s="5"/>
      <c r="J249" s="5"/>
      <c r="K249" s="5"/>
      <c r="L249" s="5"/>
      <c r="M249">
        <f ca="1">IFERROR(__xludf.DUMMYFUNCTION("""COMPUTED_VALUE"""),9)</f>
        <v>9</v>
      </c>
      <c r="N249" s="8"/>
    </row>
    <row r="250" spans="1:14" ht="12.45" hidden="1">
      <c r="A250" t="str">
        <f ca="1">IFERROR(__xludf.DUMMYFUNCTION("""COMPUTED_VALUE"""),"V-4-512")</f>
        <v>V-4-512</v>
      </c>
      <c r="B250" t="str">
        <f ca="1">IFERROR(__xludf.DUMMYFUNCTION("""COMPUTED_VALUE"""),"Шманцарь")</f>
        <v>Шманцарь</v>
      </c>
      <c r="C250" t="str">
        <f ca="1">IFERROR(__xludf.DUMMYFUNCTION("""COMPUTED_VALUE"""),"Илья")</f>
        <v>Илья</v>
      </c>
      <c r="D250" t="str">
        <f ca="1">IFERROR(__xludf.DUMMYFUNCTION("""COMPUTED_VALUE"""),"Школа 31")</f>
        <v>Школа 31</v>
      </c>
      <c r="E250" s="5">
        <f ca="1">IFERROR(__xludf.DUMMYFUNCTION("""COMPUTED_VALUE"""),7)</f>
        <v>7</v>
      </c>
      <c r="F250" s="5"/>
      <c r="G250" s="5"/>
      <c r="H250" s="5"/>
      <c r="I250" s="5">
        <f ca="1">IFERROR(__xludf.DUMMYFUNCTION("""COMPUTED_VALUE"""),2)</f>
        <v>2</v>
      </c>
      <c r="J250" s="5"/>
      <c r="K250" s="5"/>
      <c r="L250" s="5"/>
      <c r="M250">
        <f ca="1">IFERROR(__xludf.DUMMYFUNCTION("""COMPUTED_VALUE"""),9)</f>
        <v>9</v>
      </c>
      <c r="N250" s="8"/>
    </row>
    <row r="251" spans="1:14" ht="12.45" hidden="1">
      <c r="A251" t="str">
        <f ca="1">IFERROR(__xludf.DUMMYFUNCTION("""COMPUTED_VALUE"""),"V-4-524")</f>
        <v>V-4-524</v>
      </c>
      <c r="B251" t="str">
        <f ca="1">IFERROR(__xludf.DUMMYFUNCTION("""COMPUTED_VALUE"""),"Юдин")</f>
        <v>Юдин</v>
      </c>
      <c r="C251" t="str">
        <f ca="1">IFERROR(__xludf.DUMMYFUNCTION("""COMPUTED_VALUE"""),"ЯРОСЛАВ")</f>
        <v>ЯРОСЛАВ</v>
      </c>
      <c r="D251" t="str">
        <f ca="1">IFERROR(__xludf.DUMMYFUNCTION("""COMPUTED_VALUE"""),"Лицей 369")</f>
        <v>Лицей 369</v>
      </c>
      <c r="E251" s="5">
        <f ca="1">IFERROR(__xludf.DUMMYFUNCTION("""COMPUTED_VALUE"""),7)</f>
        <v>7</v>
      </c>
      <c r="F251" s="5"/>
      <c r="G251" s="5">
        <f ca="1">IFERROR(__xludf.DUMMYFUNCTION("""COMPUTED_VALUE"""),2)</f>
        <v>2</v>
      </c>
      <c r="H251" s="5"/>
      <c r="I251" s="5"/>
      <c r="J251" s="5"/>
      <c r="K251" s="5"/>
      <c r="L251" s="5"/>
      <c r="M251">
        <f ca="1">IFERROR(__xludf.DUMMYFUNCTION("""COMPUTED_VALUE"""),9)</f>
        <v>9</v>
      </c>
      <c r="N251" s="8"/>
    </row>
    <row r="252" spans="1:14" ht="12.45" hidden="1">
      <c r="A252" t="str">
        <f ca="1">IFERROR(__xludf.DUMMYFUNCTION("""COMPUTED_VALUE"""),"III-4-051")</f>
        <v>III-4-051</v>
      </c>
      <c r="B252" t="str">
        <f ca="1">IFERROR(__xludf.DUMMYFUNCTION("""COMPUTED_VALUE"""),"Бобровский")</f>
        <v>Бобровский</v>
      </c>
      <c r="C252" t="str">
        <f ca="1">IFERROR(__xludf.DUMMYFUNCTION("""COMPUTED_VALUE"""),"Егор")</f>
        <v>Егор</v>
      </c>
      <c r="D252" t="str">
        <f ca="1">IFERROR(__xludf.DUMMYFUNCTION("""COMPUTED_VALUE"""),"Школа 619")</f>
        <v>Школа 619</v>
      </c>
      <c r="E252" s="5">
        <f ca="1">IFERROR(__xludf.DUMMYFUNCTION("""COMPUTED_VALUE"""),7)</f>
        <v>7</v>
      </c>
      <c r="F252" s="5"/>
      <c r="G252" s="5"/>
      <c r="H252" s="5"/>
      <c r="I252" s="5">
        <f ca="1">IFERROR(__xludf.DUMMYFUNCTION("""COMPUTED_VALUE"""),1)</f>
        <v>1</v>
      </c>
      <c r="J252" s="5"/>
      <c r="K252" s="5"/>
      <c r="L252" s="5"/>
      <c r="M252">
        <f ca="1">IFERROR(__xludf.DUMMYFUNCTION("""COMPUTED_VALUE"""),8)</f>
        <v>8</v>
      </c>
      <c r="N252" s="8"/>
    </row>
    <row r="253" spans="1:14" ht="12.45" hidden="1">
      <c r="A253" t="str">
        <f ca="1">IFERROR(__xludf.DUMMYFUNCTION("""COMPUTED_VALUE"""),"III-4-139")</f>
        <v>III-4-139</v>
      </c>
      <c r="B253" t="str">
        <f ca="1">IFERROR(__xludf.DUMMYFUNCTION("""COMPUTED_VALUE"""),"Гуков")</f>
        <v>Гуков</v>
      </c>
      <c r="C253" t="str">
        <f ca="1">IFERROR(__xludf.DUMMYFUNCTION("""COMPUTED_VALUE"""),"Фёдор")</f>
        <v>Фёдор</v>
      </c>
      <c r="D253" t="str">
        <f ca="1">IFERROR(__xludf.DUMMYFUNCTION("""COMPUTED_VALUE"""),"Лицей 273")</f>
        <v>Лицей 273</v>
      </c>
      <c r="E253" s="5">
        <f ca="1">IFERROR(__xludf.DUMMYFUNCTION("""COMPUTED_VALUE"""),7)</f>
        <v>7</v>
      </c>
      <c r="F253" s="5">
        <f ca="1">IFERROR(__xludf.DUMMYFUNCTION("""COMPUTED_VALUE"""),1)</f>
        <v>1</v>
      </c>
      <c r="G253" s="5"/>
      <c r="H253" s="5"/>
      <c r="I253" s="5"/>
      <c r="J253" s="5"/>
      <c r="K253" s="5"/>
      <c r="L253" s="5"/>
      <c r="M253">
        <f ca="1">IFERROR(__xludf.DUMMYFUNCTION("""COMPUTED_VALUE"""),8)</f>
        <v>8</v>
      </c>
      <c r="N253" s="8"/>
    </row>
    <row r="254" spans="1:14" ht="12.45" hidden="1">
      <c r="A254" t="str">
        <f ca="1">IFERROR(__xludf.DUMMYFUNCTION("""COMPUTED_VALUE"""),"III-4-186")</f>
        <v>III-4-186</v>
      </c>
      <c r="B254" t="str">
        <f ca="1">IFERROR(__xludf.DUMMYFUNCTION("""COMPUTED_VALUE"""),"Злотин")</f>
        <v>Злотин</v>
      </c>
      <c r="C254" t="str">
        <f ca="1">IFERROR(__xludf.DUMMYFUNCTION("""COMPUTED_VALUE"""),"Ефим")</f>
        <v>Ефим</v>
      </c>
      <c r="D254" t="str">
        <f ca="1">IFERROR(__xludf.DUMMYFUNCTION("""COMPUTED_VALUE"""),"Гимназия 166")</f>
        <v>Гимназия 166</v>
      </c>
      <c r="E254" s="5">
        <f ca="1">IFERROR(__xludf.DUMMYFUNCTION("""COMPUTED_VALUE"""),7)</f>
        <v>7</v>
      </c>
      <c r="F254" s="5"/>
      <c r="G254" s="5"/>
      <c r="H254" s="5"/>
      <c r="I254" s="5">
        <f ca="1">IFERROR(__xludf.DUMMYFUNCTION("""COMPUTED_VALUE"""),1)</f>
        <v>1</v>
      </c>
      <c r="J254" s="5"/>
      <c r="K254" s="5"/>
      <c r="L254" s="5"/>
      <c r="M254">
        <f ca="1">IFERROR(__xludf.DUMMYFUNCTION("""COMPUTED_VALUE"""),8)</f>
        <v>8</v>
      </c>
      <c r="N254" s="8"/>
    </row>
    <row r="255" spans="1:14" ht="12.45" hidden="1">
      <c r="A255" t="str">
        <f ca="1">IFERROR(__xludf.DUMMYFUNCTION("""COMPUTED_VALUE"""),"III-4-189")</f>
        <v>III-4-189</v>
      </c>
      <c r="B255" t="str">
        <f ca="1">IFERROR(__xludf.DUMMYFUNCTION("""COMPUTED_VALUE"""),"Зубарев")</f>
        <v>Зубарев</v>
      </c>
      <c r="C255" t="str">
        <f ca="1">IFERROR(__xludf.DUMMYFUNCTION("""COMPUTED_VALUE"""),"Дмитрий")</f>
        <v>Дмитрий</v>
      </c>
      <c r="D255" t="str">
        <f ca="1">IFERROR(__xludf.DUMMYFUNCTION("""COMPUTED_VALUE"""),"Гимназия 642")</f>
        <v>Гимназия 642</v>
      </c>
      <c r="E255" s="5">
        <f ca="1">IFERROR(__xludf.DUMMYFUNCTION("""COMPUTED_VALUE"""),2)</f>
        <v>2</v>
      </c>
      <c r="F255" s="5">
        <f ca="1">IFERROR(__xludf.DUMMYFUNCTION("""COMPUTED_VALUE"""),4)</f>
        <v>4</v>
      </c>
      <c r="G255" s="5"/>
      <c r="H255" s="5"/>
      <c r="I255" s="5">
        <f ca="1">IFERROR(__xludf.DUMMYFUNCTION("""COMPUTED_VALUE"""),2)</f>
        <v>2</v>
      </c>
      <c r="J255" s="5"/>
      <c r="K255" s="5"/>
      <c r="L255" s="5"/>
      <c r="M255">
        <f ca="1">IFERROR(__xludf.DUMMYFUNCTION("""COMPUTED_VALUE"""),8)</f>
        <v>8</v>
      </c>
      <c r="N255" s="8"/>
    </row>
    <row r="256" spans="1:14" ht="12.45" hidden="1">
      <c r="A256" t="str">
        <f ca="1">IFERROR(__xludf.DUMMYFUNCTION("""COMPUTED_VALUE"""),"III-4-230")</f>
        <v>III-4-230</v>
      </c>
      <c r="B256" t="str">
        <f ca="1">IFERROR(__xludf.DUMMYFUNCTION("""COMPUTED_VALUE"""),"Колыхалин")</f>
        <v>Колыхалин</v>
      </c>
      <c r="C256" t="str">
        <f ca="1">IFERROR(__xludf.DUMMYFUNCTION("""COMPUTED_VALUE"""),"Дмитрий")</f>
        <v>Дмитрий</v>
      </c>
      <c r="D256" t="str">
        <f ca="1">IFERROR(__xludf.DUMMYFUNCTION("""COMPUTED_VALUE"""),"Школа 598")</f>
        <v>Школа 598</v>
      </c>
      <c r="E256" s="5">
        <f ca="1">IFERROR(__xludf.DUMMYFUNCTION("""COMPUTED_VALUE"""),7)</f>
        <v>7</v>
      </c>
      <c r="F256" s="5">
        <f ca="1">IFERROR(__xludf.DUMMYFUNCTION("""COMPUTED_VALUE"""),1)</f>
        <v>1</v>
      </c>
      <c r="G256" s="5"/>
      <c r="H256" s="5"/>
      <c r="I256" s="5"/>
      <c r="J256" s="5"/>
      <c r="K256" s="5"/>
      <c r="L256" s="5"/>
      <c r="M256">
        <f ca="1">IFERROR(__xludf.DUMMYFUNCTION("""COMPUTED_VALUE"""),8)</f>
        <v>8</v>
      </c>
      <c r="N256" s="8"/>
    </row>
    <row r="257" spans="1:14" ht="12.45" hidden="1">
      <c r="A257" t="str">
        <f ca="1">IFERROR(__xludf.DUMMYFUNCTION("""COMPUTED_VALUE"""),"V-4-272")</f>
        <v>V-4-272</v>
      </c>
      <c r="B257" t="str">
        <f ca="1">IFERROR(__xludf.DUMMYFUNCTION("""COMPUTED_VALUE"""),"Лихвацкая")</f>
        <v>Лихвацкая</v>
      </c>
      <c r="C257" t="str">
        <f ca="1">IFERROR(__xludf.DUMMYFUNCTION("""COMPUTED_VALUE"""),"Павлина")</f>
        <v>Павлина</v>
      </c>
      <c r="D257" t="str">
        <f ca="1">IFERROR(__xludf.DUMMYFUNCTION("""COMPUTED_VALUE"""),"Школа 489")</f>
        <v>Школа 489</v>
      </c>
      <c r="E257" s="5">
        <f ca="1">IFERROR(__xludf.DUMMYFUNCTION("""COMPUTED_VALUE"""),7)</f>
        <v>7</v>
      </c>
      <c r="F257" s="5">
        <f ca="1">IFERROR(__xludf.DUMMYFUNCTION("""COMPUTED_VALUE"""),0)</f>
        <v>0</v>
      </c>
      <c r="G257" s="5">
        <f ca="1">IFERROR(__xludf.DUMMYFUNCTION("""COMPUTED_VALUE"""),1)</f>
        <v>1</v>
      </c>
      <c r="H257" s="5">
        <f ca="1">IFERROR(__xludf.DUMMYFUNCTION("""COMPUTED_VALUE"""),0)</f>
        <v>0</v>
      </c>
      <c r="I257" s="5">
        <f ca="1">IFERROR(__xludf.DUMMYFUNCTION("""COMPUTED_VALUE"""),0)</f>
        <v>0</v>
      </c>
      <c r="J257" s="5">
        <f ca="1">IFERROR(__xludf.DUMMYFUNCTION("""COMPUTED_VALUE"""),0)</f>
        <v>0</v>
      </c>
      <c r="K257" s="5">
        <f ca="1">IFERROR(__xludf.DUMMYFUNCTION("""COMPUTED_VALUE"""),0)</f>
        <v>0</v>
      </c>
      <c r="L257" s="5">
        <f ca="1">IFERROR(__xludf.DUMMYFUNCTION("""COMPUTED_VALUE"""),0)</f>
        <v>0</v>
      </c>
      <c r="M257">
        <f ca="1">IFERROR(__xludf.DUMMYFUNCTION("""COMPUTED_VALUE"""),8)</f>
        <v>8</v>
      </c>
      <c r="N257" s="8"/>
    </row>
    <row r="258" spans="1:14" ht="12.45" hidden="1">
      <c r="A258" t="str">
        <f ca="1">IFERROR(__xludf.DUMMYFUNCTION("""COMPUTED_VALUE"""),"V-4-276")</f>
        <v>V-4-276</v>
      </c>
      <c r="B258" t="str">
        <f ca="1">IFERROR(__xludf.DUMMYFUNCTION("""COMPUTED_VALUE"""),"Луцив")</f>
        <v>Луцив</v>
      </c>
      <c r="C258" t="str">
        <f ca="1">IFERROR(__xludf.DUMMYFUNCTION("""COMPUTED_VALUE"""),"Павел")</f>
        <v>Павел</v>
      </c>
      <c r="D258" t="str">
        <f ca="1">IFERROR(__xludf.DUMMYFUNCTION("""COMPUTED_VALUE"""),"Школа 489")</f>
        <v>Школа 489</v>
      </c>
      <c r="E258" s="5">
        <f ca="1">IFERROR(__xludf.DUMMYFUNCTION("""COMPUTED_VALUE"""),7)</f>
        <v>7</v>
      </c>
      <c r="F258" s="5"/>
      <c r="G258" s="5"/>
      <c r="H258" s="5"/>
      <c r="I258" s="5">
        <f ca="1">IFERROR(__xludf.DUMMYFUNCTION("""COMPUTED_VALUE"""),1)</f>
        <v>1</v>
      </c>
      <c r="J258" s="5"/>
      <c r="K258" s="5"/>
      <c r="L258" s="5"/>
      <c r="M258">
        <f ca="1">IFERROR(__xludf.DUMMYFUNCTION("""COMPUTED_VALUE"""),8)</f>
        <v>8</v>
      </c>
      <c r="N258" s="8"/>
    </row>
    <row r="259" spans="1:14" ht="12.45" hidden="1">
      <c r="A259" t="str">
        <f ca="1">IFERROR(__xludf.DUMMYFUNCTION("""COMPUTED_VALUE"""),"V-4-303")</f>
        <v>V-4-303</v>
      </c>
      <c r="B259" t="str">
        <f ca="1">IFERROR(__xludf.DUMMYFUNCTION("""COMPUTED_VALUE"""),"Морозюк")</f>
        <v>Морозюк</v>
      </c>
      <c r="C259" t="str">
        <f ca="1">IFERROR(__xludf.DUMMYFUNCTION("""COMPUTED_VALUE"""),"Никита")</f>
        <v>Никита</v>
      </c>
      <c r="D259" t="str">
        <f ca="1">IFERROR(__xludf.DUMMYFUNCTION("""COMPUTED_VALUE"""),"Гимназия 11")</f>
        <v>Гимназия 11</v>
      </c>
      <c r="E259" s="5">
        <f ca="1">IFERROR(__xludf.DUMMYFUNCTION("""COMPUTED_VALUE"""),7)</f>
        <v>7</v>
      </c>
      <c r="F259" s="5"/>
      <c r="G259" s="5">
        <f ca="1">IFERROR(__xludf.DUMMYFUNCTION("""COMPUTED_VALUE"""),1)</f>
        <v>1</v>
      </c>
      <c r="H259" s="5"/>
      <c r="I259" s="5"/>
      <c r="J259" s="5"/>
      <c r="K259" s="5"/>
      <c r="L259" s="5"/>
      <c r="M259">
        <f ca="1">IFERROR(__xludf.DUMMYFUNCTION("""COMPUTED_VALUE"""),8)</f>
        <v>8</v>
      </c>
      <c r="N259" s="8"/>
    </row>
    <row r="260" spans="1:14" ht="12.45" hidden="1">
      <c r="A260" t="str">
        <f ca="1">IFERROR(__xludf.DUMMYFUNCTION("""COMPUTED_VALUE"""),"V-4-380")</f>
        <v>V-4-380</v>
      </c>
      <c r="B260" t="str">
        <f ca="1">IFERROR(__xludf.DUMMYFUNCTION("""COMPUTED_VALUE"""),"Радьков")</f>
        <v>Радьков</v>
      </c>
      <c r="C260" t="str">
        <f ca="1">IFERROR(__xludf.DUMMYFUNCTION("""COMPUTED_VALUE"""),"Максим")</f>
        <v>Максим</v>
      </c>
      <c r="D260" t="str">
        <f ca="1">IFERROR(__xludf.DUMMYFUNCTION("""COMPUTED_VALUE"""),"Школа 103")</f>
        <v>Школа 103</v>
      </c>
      <c r="E260" s="5">
        <f ca="1">IFERROR(__xludf.DUMMYFUNCTION("""COMPUTED_VALUE"""),7)</f>
        <v>7</v>
      </c>
      <c r="F260" s="5"/>
      <c r="G260" s="5">
        <f ca="1">IFERROR(__xludf.DUMMYFUNCTION("""COMPUTED_VALUE"""),1)</f>
        <v>1</v>
      </c>
      <c r="H260" s="5"/>
      <c r="I260" s="5"/>
      <c r="J260" s="5"/>
      <c r="K260" s="5"/>
      <c r="L260" s="5"/>
      <c r="M260">
        <f ca="1">IFERROR(__xludf.DUMMYFUNCTION("""COMPUTED_VALUE"""),8)</f>
        <v>8</v>
      </c>
      <c r="N260" s="8"/>
    </row>
    <row r="261" spans="1:14" ht="12.45" hidden="1">
      <c r="A261" t="str">
        <f ca="1">IFERROR(__xludf.DUMMYFUNCTION("""COMPUTED_VALUE"""),"V-4-430")</f>
        <v>V-4-430</v>
      </c>
      <c r="B261" t="str">
        <f ca="1">IFERROR(__xludf.DUMMYFUNCTION("""COMPUTED_VALUE"""),"Соколов")</f>
        <v>Соколов</v>
      </c>
      <c r="C261" t="str">
        <f ca="1">IFERROR(__xludf.DUMMYFUNCTION("""COMPUTED_VALUE"""),"Иван")</f>
        <v>Иван</v>
      </c>
      <c r="D261" t="str">
        <f ca="1">IFERROR(__xludf.DUMMYFUNCTION("""COMPUTED_VALUE"""),"Гимназия 642 ""Земля и Вселенная""")</f>
        <v>Гимназия 642 "Земля и Вселенная"</v>
      </c>
      <c r="E261" s="5">
        <f ca="1">IFERROR(__xludf.DUMMYFUNCTION("""COMPUTED_VALUE"""),0)</f>
        <v>0</v>
      </c>
      <c r="F261" s="5">
        <f ca="1">IFERROR(__xludf.DUMMYFUNCTION("""COMPUTED_VALUE"""),3)</f>
        <v>3</v>
      </c>
      <c r="G261" s="5">
        <f ca="1">IFERROR(__xludf.DUMMYFUNCTION("""COMPUTED_VALUE"""),2)</f>
        <v>2</v>
      </c>
      <c r="H261" s="5">
        <f ca="1">IFERROR(__xludf.DUMMYFUNCTION("""COMPUTED_VALUE"""),0)</f>
        <v>0</v>
      </c>
      <c r="I261" s="5">
        <f ca="1">IFERROR(__xludf.DUMMYFUNCTION("""COMPUTED_VALUE"""),2)</f>
        <v>2</v>
      </c>
      <c r="J261" s="5">
        <f ca="1">IFERROR(__xludf.DUMMYFUNCTION("""COMPUTED_VALUE"""),1)</f>
        <v>1</v>
      </c>
      <c r="K261" s="5"/>
      <c r="L261" s="5"/>
      <c r="M261">
        <f ca="1">IFERROR(__xludf.DUMMYFUNCTION("""COMPUTED_VALUE"""),8)</f>
        <v>8</v>
      </c>
      <c r="N261" s="8"/>
    </row>
    <row r="262" spans="1:14" ht="12.45" hidden="1">
      <c r="A262" t="str">
        <f ca="1">IFERROR(__xludf.DUMMYFUNCTION("""COMPUTED_VALUE"""),"V-4-443")</f>
        <v>V-4-443</v>
      </c>
      <c r="B262" t="str">
        <f ca="1">IFERROR(__xludf.DUMMYFUNCTION("""COMPUTED_VALUE"""),"Столяров")</f>
        <v>Столяров</v>
      </c>
      <c r="C262" t="str">
        <f ca="1">IFERROR(__xludf.DUMMYFUNCTION("""COMPUTED_VALUE"""),"Максим")</f>
        <v>Максим</v>
      </c>
      <c r="D262" t="str">
        <f ca="1">IFERROR(__xludf.DUMMYFUNCTION("""COMPUTED_VALUE"""),"Школа 60")</f>
        <v>Школа 60</v>
      </c>
      <c r="E262" s="5">
        <f ca="1">IFERROR(__xludf.DUMMYFUNCTION("""COMPUTED_VALUE"""),7)</f>
        <v>7</v>
      </c>
      <c r="F262" s="5"/>
      <c r="G262" s="5">
        <f ca="1">IFERROR(__xludf.DUMMYFUNCTION("""COMPUTED_VALUE"""),1)</f>
        <v>1</v>
      </c>
      <c r="H262" s="5"/>
      <c r="I262" s="5"/>
      <c r="J262" s="5"/>
      <c r="K262" s="5"/>
      <c r="L262" s="5"/>
      <c r="M262">
        <f ca="1">IFERROR(__xludf.DUMMYFUNCTION("""COMPUTED_VALUE"""),8)</f>
        <v>8</v>
      </c>
      <c r="N262" s="8"/>
    </row>
    <row r="263" spans="1:14" ht="12.45" hidden="1">
      <c r="A263" t="str">
        <f ca="1">IFERROR(__xludf.DUMMYFUNCTION("""COMPUTED_VALUE"""),"V-4-480")</f>
        <v>V-4-480</v>
      </c>
      <c r="B263" t="str">
        <f ca="1">IFERROR(__xludf.DUMMYFUNCTION("""COMPUTED_VALUE"""),"Халепо")</f>
        <v>Халепо</v>
      </c>
      <c r="C263" t="str">
        <f ca="1">IFERROR(__xludf.DUMMYFUNCTION("""COMPUTED_VALUE"""),"Тимур")</f>
        <v>Тимур</v>
      </c>
      <c r="D263" t="str">
        <f ca="1">IFERROR(__xludf.DUMMYFUNCTION("""COMPUTED_VALUE"""),"Школа 619")</f>
        <v>Школа 619</v>
      </c>
      <c r="E263" s="5">
        <f ca="1">IFERROR(__xludf.DUMMYFUNCTION("""COMPUTED_VALUE"""),7)</f>
        <v>7</v>
      </c>
      <c r="F263" s="5"/>
      <c r="G263" s="5"/>
      <c r="H263" s="5"/>
      <c r="I263" s="5">
        <f ca="1">IFERROR(__xludf.DUMMYFUNCTION("""COMPUTED_VALUE"""),1)</f>
        <v>1</v>
      </c>
      <c r="J263" s="5"/>
      <c r="K263" s="5"/>
      <c r="L263" s="5"/>
      <c r="M263">
        <f ca="1">IFERROR(__xludf.DUMMYFUNCTION("""COMPUTED_VALUE"""),8)</f>
        <v>8</v>
      </c>
      <c r="N263" s="8"/>
    </row>
    <row r="264" spans="1:14" ht="12.45" hidden="1">
      <c r="A264" t="str">
        <f ca="1">IFERROR(__xludf.DUMMYFUNCTION("""COMPUTED_VALUE"""),"V-4-492")</f>
        <v>V-4-492</v>
      </c>
      <c r="B264" t="str">
        <f ca="1">IFERROR(__xludf.DUMMYFUNCTION("""COMPUTED_VALUE"""),"Чичерин")</f>
        <v>Чичерин</v>
      </c>
      <c r="C264" t="str">
        <f ca="1">IFERROR(__xludf.DUMMYFUNCTION("""COMPUTED_VALUE"""),"Александр")</f>
        <v>Александр</v>
      </c>
      <c r="D264" t="str">
        <f ca="1">IFERROR(__xludf.DUMMYFUNCTION("""COMPUTED_VALUE"""),"Школа 489")</f>
        <v>Школа 489</v>
      </c>
      <c r="E264" s="5"/>
      <c r="F264" s="5">
        <f ca="1">IFERROR(__xludf.DUMMYFUNCTION("""COMPUTED_VALUE"""),7)</f>
        <v>7</v>
      </c>
      <c r="G264" s="5">
        <f ca="1">IFERROR(__xludf.DUMMYFUNCTION("""COMPUTED_VALUE"""),1)</f>
        <v>1</v>
      </c>
      <c r="H264" s="5"/>
      <c r="I264" s="5"/>
      <c r="J264" s="5"/>
      <c r="K264" s="5"/>
      <c r="L264" s="5"/>
      <c r="M264">
        <f ca="1">IFERROR(__xludf.DUMMYFUNCTION("""COMPUTED_VALUE"""),8)</f>
        <v>8</v>
      </c>
      <c r="N264" s="8"/>
    </row>
    <row r="265" spans="1:14" ht="12.45" hidden="1">
      <c r="A265" t="str">
        <f ca="1">IFERROR(__xludf.DUMMYFUNCTION("""COMPUTED_VALUE"""),"V-4-529")</f>
        <v>V-4-529</v>
      </c>
      <c r="B265" t="str">
        <f ca="1">IFERROR(__xludf.DUMMYFUNCTION("""COMPUTED_VALUE"""),"Янковский")</f>
        <v>Янковский</v>
      </c>
      <c r="C265" t="str">
        <f ca="1">IFERROR(__xludf.DUMMYFUNCTION("""COMPUTED_VALUE"""),"Вадим")</f>
        <v>Вадим</v>
      </c>
      <c r="D265" t="str">
        <f ca="1">IFERROR(__xludf.DUMMYFUNCTION("""COMPUTED_VALUE"""),"Школа СПб ГБПОУ «Академия танца Бориса Эйфмана»")</f>
        <v>Школа СПб ГБПОУ «Академия танца Бориса Эйфмана»</v>
      </c>
      <c r="E265" s="5">
        <f ca="1">IFERROR(__xludf.DUMMYFUNCTION("""COMPUTED_VALUE"""),2)</f>
        <v>2</v>
      </c>
      <c r="F265" s="5">
        <f ca="1">IFERROR(__xludf.DUMMYFUNCTION("""COMPUTED_VALUE"""),3)</f>
        <v>3</v>
      </c>
      <c r="G265" s="5">
        <f ca="1">IFERROR(__xludf.DUMMYFUNCTION("""COMPUTED_VALUE"""),2)</f>
        <v>2</v>
      </c>
      <c r="H265" s="5"/>
      <c r="I265" s="5"/>
      <c r="J265" s="5"/>
      <c r="K265" s="5">
        <f ca="1">IFERROR(__xludf.DUMMYFUNCTION("""COMPUTED_VALUE"""),1)</f>
        <v>1</v>
      </c>
      <c r="L265" s="5"/>
      <c r="M265">
        <f ca="1">IFERROR(__xludf.DUMMYFUNCTION("""COMPUTED_VALUE"""),8)</f>
        <v>8</v>
      </c>
      <c r="N265" s="8"/>
    </row>
    <row r="266" spans="1:14" ht="12.45" hidden="1">
      <c r="A266" t="str">
        <f ca="1">IFERROR(__xludf.DUMMYFUNCTION("""COMPUTED_VALUE"""),"III-4-027")</f>
        <v>III-4-027</v>
      </c>
      <c r="B266" t="str">
        <f ca="1">IFERROR(__xludf.DUMMYFUNCTION("""COMPUTED_VALUE"""),"Барабанщикова")</f>
        <v>Барабанщикова</v>
      </c>
      <c r="C266" t="str">
        <f ca="1">IFERROR(__xludf.DUMMYFUNCTION("""COMPUTED_VALUE"""),"Кира")</f>
        <v>Кира</v>
      </c>
      <c r="D266" t="str">
        <f ca="1">IFERROR(__xludf.DUMMYFUNCTION("""COMPUTED_VALUE"""),"Школа 700")</f>
        <v>Школа 700</v>
      </c>
      <c r="E266" s="5">
        <f ca="1">IFERROR(__xludf.DUMMYFUNCTION("""COMPUTED_VALUE"""),7)</f>
        <v>7</v>
      </c>
      <c r="F266" s="5"/>
      <c r="G266" s="5"/>
      <c r="H266" s="5"/>
      <c r="I266" s="5"/>
      <c r="J266" s="5"/>
      <c r="K266" s="5"/>
      <c r="L266" s="5"/>
      <c r="M266">
        <f ca="1">IFERROR(__xludf.DUMMYFUNCTION("""COMPUTED_VALUE"""),7)</f>
        <v>7</v>
      </c>
      <c r="N266" s="8"/>
    </row>
    <row r="267" spans="1:14" ht="12.45" hidden="1">
      <c r="A267" t="str">
        <f ca="1">IFERROR(__xludf.DUMMYFUNCTION("""COMPUTED_VALUE"""),"III-4-028")</f>
        <v>III-4-028</v>
      </c>
      <c r="B267" t="str">
        <f ca="1">IFERROR(__xludf.DUMMYFUNCTION("""COMPUTED_VALUE"""),"Баранов")</f>
        <v>Баранов</v>
      </c>
      <c r="C267" t="str">
        <f ca="1">IFERROR(__xludf.DUMMYFUNCTION("""COMPUTED_VALUE"""),"Денис")</f>
        <v>Денис</v>
      </c>
      <c r="D267" t="str">
        <f ca="1">IFERROR(__xludf.DUMMYFUNCTION("""COMPUTED_VALUE"""),"Гимназия 363")</f>
        <v>Гимназия 363</v>
      </c>
      <c r="E267" s="5">
        <f ca="1">IFERROR(__xludf.DUMMYFUNCTION("""COMPUTED_VALUE"""),7)</f>
        <v>7</v>
      </c>
      <c r="F267" s="5"/>
      <c r="G267" s="5"/>
      <c r="H267" s="5"/>
      <c r="I267" s="5"/>
      <c r="J267" s="5"/>
      <c r="K267" s="5"/>
      <c r="L267" s="5"/>
      <c r="M267">
        <f ca="1">IFERROR(__xludf.DUMMYFUNCTION("""COMPUTED_VALUE"""),7)</f>
        <v>7</v>
      </c>
      <c r="N267" s="8"/>
    </row>
    <row r="268" spans="1:14" ht="12.45" hidden="1">
      <c r="A268" t="str">
        <f ca="1">IFERROR(__xludf.DUMMYFUNCTION("""COMPUTED_VALUE"""),"III-4-030")</f>
        <v>III-4-030</v>
      </c>
      <c r="B268" t="str">
        <f ca="1">IFERROR(__xludf.DUMMYFUNCTION("""COMPUTED_VALUE"""),"Бартаев")</f>
        <v>Бартаев</v>
      </c>
      <c r="C268" t="str">
        <f ca="1">IFERROR(__xludf.DUMMYFUNCTION("""COMPUTED_VALUE"""),"Артем")</f>
        <v>Артем</v>
      </c>
      <c r="D268" t="str">
        <f ca="1">IFERROR(__xludf.DUMMYFUNCTION("""COMPUTED_VALUE"""),"Школа 535")</f>
        <v>Школа 535</v>
      </c>
      <c r="E268" s="5">
        <f ca="1">IFERROR(__xludf.DUMMYFUNCTION("""COMPUTED_VALUE"""),7)</f>
        <v>7</v>
      </c>
      <c r="F268" s="5"/>
      <c r="G268" s="5"/>
      <c r="H268" s="5"/>
      <c r="I268" s="5"/>
      <c r="J268" s="5"/>
      <c r="K268" s="5"/>
      <c r="L268" s="5"/>
      <c r="M268">
        <f ca="1">IFERROR(__xludf.DUMMYFUNCTION("""COMPUTED_VALUE"""),7)</f>
        <v>7</v>
      </c>
      <c r="N268" s="8"/>
    </row>
    <row r="269" spans="1:14" ht="12.45" hidden="1">
      <c r="A269" t="str">
        <f ca="1">IFERROR(__xludf.DUMMYFUNCTION("""COMPUTED_VALUE"""),"III-4-031")</f>
        <v>III-4-031</v>
      </c>
      <c r="B269" t="str">
        <f ca="1">IFERROR(__xludf.DUMMYFUNCTION("""COMPUTED_VALUE"""),"Барчуков")</f>
        <v>Барчуков</v>
      </c>
      <c r="C269" t="str">
        <f ca="1">IFERROR(__xludf.DUMMYFUNCTION("""COMPUTED_VALUE"""),"Иван")</f>
        <v>Иван</v>
      </c>
      <c r="D269" t="str">
        <f ca="1">IFERROR(__xludf.DUMMYFUNCTION("""COMPUTED_VALUE"""),"Гимназия 343")</f>
        <v>Гимназия 343</v>
      </c>
      <c r="E269" s="5">
        <f ca="1">IFERROR(__xludf.DUMMYFUNCTION("""COMPUTED_VALUE"""),7)</f>
        <v>7</v>
      </c>
      <c r="F269" s="5"/>
      <c r="G269" s="5"/>
      <c r="H269" s="5"/>
      <c r="I269" s="5"/>
      <c r="J269" s="5"/>
      <c r="K269" s="5"/>
      <c r="L269" s="5"/>
      <c r="M269">
        <f ca="1">IFERROR(__xludf.DUMMYFUNCTION("""COMPUTED_VALUE"""),7)</f>
        <v>7</v>
      </c>
      <c r="N269" s="8"/>
    </row>
    <row r="270" spans="1:14" ht="12.45" hidden="1">
      <c r="A270" t="str">
        <f ca="1">IFERROR(__xludf.DUMMYFUNCTION("""COMPUTED_VALUE"""),"III-4-105")</f>
        <v>III-4-105</v>
      </c>
      <c r="B270" t="str">
        <f ca="1">IFERROR(__xludf.DUMMYFUNCTION("""COMPUTED_VALUE"""),"Ворожбитов")</f>
        <v>Ворожбитов</v>
      </c>
      <c r="C270" t="str">
        <f ca="1">IFERROR(__xludf.DUMMYFUNCTION("""COMPUTED_VALUE"""),"Алексей")</f>
        <v>Алексей</v>
      </c>
      <c r="D270" t="str">
        <f ca="1">IFERROR(__xludf.DUMMYFUNCTION("""COMPUTED_VALUE"""),"Школа 655")</f>
        <v>Школа 655</v>
      </c>
      <c r="E270" s="5"/>
      <c r="F270" s="5">
        <f ca="1">IFERROR(__xludf.DUMMYFUNCTION("""COMPUTED_VALUE"""),7)</f>
        <v>7</v>
      </c>
      <c r="G270" s="5"/>
      <c r="H270" s="5"/>
      <c r="I270" s="5"/>
      <c r="J270" s="5"/>
      <c r="K270" s="5"/>
      <c r="L270" s="5"/>
      <c r="M270">
        <f ca="1">IFERROR(__xludf.DUMMYFUNCTION("""COMPUTED_VALUE"""),7)</f>
        <v>7</v>
      </c>
      <c r="N270" s="8"/>
    </row>
    <row r="271" spans="1:14" ht="12.45" hidden="1">
      <c r="A271" t="str">
        <f ca="1">IFERROR(__xludf.DUMMYFUNCTION("""COMPUTED_VALUE"""),"III-4-107")</f>
        <v>III-4-107</v>
      </c>
      <c r="B271" t="str">
        <f ca="1">IFERROR(__xludf.DUMMYFUNCTION("""COMPUTED_VALUE"""),"Воронов")</f>
        <v>Воронов</v>
      </c>
      <c r="C271" t="str">
        <f ca="1">IFERROR(__xludf.DUMMYFUNCTION("""COMPUTED_VALUE"""),"Михаил")</f>
        <v>Михаил</v>
      </c>
      <c r="D271" t="str">
        <f ca="1">IFERROR(__xludf.DUMMYFUNCTION("""COMPUTED_VALUE"""),"Школа 12")</f>
        <v>Школа 12</v>
      </c>
      <c r="E271" s="5">
        <f ca="1">IFERROR(__xludf.DUMMYFUNCTION("""COMPUTED_VALUE"""),7)</f>
        <v>7</v>
      </c>
      <c r="F271" s="5"/>
      <c r="G271" s="5"/>
      <c r="H271" s="5"/>
      <c r="I271" s="5"/>
      <c r="J271" s="5"/>
      <c r="K271" s="5"/>
      <c r="L271" s="5"/>
      <c r="M271">
        <f ca="1">IFERROR(__xludf.DUMMYFUNCTION("""COMPUTED_VALUE"""),7)</f>
        <v>7</v>
      </c>
      <c r="N271" s="8"/>
    </row>
    <row r="272" spans="1:14" ht="12.45" hidden="1">
      <c r="A272" t="str">
        <f ca="1">IFERROR(__xludf.DUMMYFUNCTION("""COMPUTED_VALUE"""),"III-4-125")</f>
        <v>III-4-125</v>
      </c>
      <c r="B272" t="str">
        <f ca="1">IFERROR(__xludf.DUMMYFUNCTION("""COMPUTED_VALUE"""),"Горбачев")</f>
        <v>Горбачев</v>
      </c>
      <c r="C272" t="str">
        <f ca="1">IFERROR(__xludf.DUMMYFUNCTION("""COMPUTED_VALUE"""),"Яромир")</f>
        <v>Яромир</v>
      </c>
      <c r="D272" t="str">
        <f ca="1">IFERROR(__xludf.DUMMYFUNCTION("""COMPUTED_VALUE"""),"Школа 320")</f>
        <v>Школа 320</v>
      </c>
      <c r="E272" s="5">
        <f ca="1">IFERROR(__xludf.DUMMYFUNCTION("""COMPUTED_VALUE"""),7)</f>
        <v>7</v>
      </c>
      <c r="F272" s="5"/>
      <c r="G272" s="5"/>
      <c r="H272" s="5"/>
      <c r="I272" s="5"/>
      <c r="J272" s="5"/>
      <c r="K272" s="5"/>
      <c r="L272" s="5"/>
      <c r="M272">
        <f ca="1">IFERROR(__xludf.DUMMYFUNCTION("""COMPUTED_VALUE"""),7)</f>
        <v>7</v>
      </c>
      <c r="N272" s="8"/>
    </row>
    <row r="273" spans="1:14" ht="12.45" hidden="1">
      <c r="A273" t="str">
        <f ca="1">IFERROR(__xludf.DUMMYFUNCTION("""COMPUTED_VALUE"""),"III-4-133")</f>
        <v>III-4-133</v>
      </c>
      <c r="B273" t="str">
        <f ca="1">IFERROR(__xludf.DUMMYFUNCTION("""COMPUTED_VALUE"""),"Гращенков")</f>
        <v>Гращенков</v>
      </c>
      <c r="C273" t="str">
        <f ca="1">IFERROR(__xludf.DUMMYFUNCTION("""COMPUTED_VALUE"""),"Арсений")</f>
        <v>Арсений</v>
      </c>
      <c r="D273" t="str">
        <f ca="1">IFERROR(__xludf.DUMMYFUNCTION("""COMPUTED_VALUE"""),"Школа 225")</f>
        <v>Школа 225</v>
      </c>
      <c r="E273" s="5">
        <f ca="1">IFERROR(__xludf.DUMMYFUNCTION("""COMPUTED_VALUE"""),2)</f>
        <v>2</v>
      </c>
      <c r="F273" s="5">
        <f ca="1">IFERROR(__xludf.DUMMYFUNCTION("""COMPUTED_VALUE"""),3)</f>
        <v>3</v>
      </c>
      <c r="G273" s="5">
        <f ca="1">IFERROR(__xludf.DUMMYFUNCTION("""COMPUTED_VALUE"""),2)</f>
        <v>2</v>
      </c>
      <c r="H273" s="5"/>
      <c r="I273" s="5"/>
      <c r="J273" s="5"/>
      <c r="K273" s="5"/>
      <c r="L273" s="5"/>
      <c r="M273">
        <f ca="1">IFERROR(__xludf.DUMMYFUNCTION("""COMPUTED_VALUE"""),7)</f>
        <v>7</v>
      </c>
      <c r="N273" s="8"/>
    </row>
    <row r="274" spans="1:14" ht="12.45" hidden="1">
      <c r="A274" t="str">
        <f ca="1">IFERROR(__xludf.DUMMYFUNCTION("""COMPUTED_VALUE"""),"III-4-137")</f>
        <v>III-4-137</v>
      </c>
      <c r="B274" t="str">
        <f ca="1">IFERROR(__xludf.DUMMYFUNCTION("""COMPUTED_VALUE"""),"Громов")</f>
        <v>Громов</v>
      </c>
      <c r="C274" t="str">
        <f ca="1">IFERROR(__xludf.DUMMYFUNCTION("""COMPUTED_VALUE"""),"Лука")</f>
        <v>Лука</v>
      </c>
      <c r="D274" t="str">
        <f ca="1">IFERROR(__xludf.DUMMYFUNCTION("""COMPUTED_VALUE"""),"Гимназия 636")</f>
        <v>Гимназия 636</v>
      </c>
      <c r="E274" s="5">
        <f ca="1">IFERROR(__xludf.DUMMYFUNCTION("""COMPUTED_VALUE"""),7)</f>
        <v>7</v>
      </c>
      <c r="F274" s="5"/>
      <c r="G274" s="5">
        <f ca="1">IFERROR(__xludf.DUMMYFUNCTION("""COMPUTED_VALUE"""),0)</f>
        <v>0</v>
      </c>
      <c r="H274" s="5">
        <f ca="1">IFERROR(__xludf.DUMMYFUNCTION("""COMPUTED_VALUE"""),0)</f>
        <v>0</v>
      </c>
      <c r="I274" s="5">
        <f ca="1">IFERROR(__xludf.DUMMYFUNCTION("""COMPUTED_VALUE"""),0)</f>
        <v>0</v>
      </c>
      <c r="J274" s="5">
        <f ca="1">IFERROR(__xludf.DUMMYFUNCTION("""COMPUTED_VALUE"""),0)</f>
        <v>0</v>
      </c>
      <c r="K274" s="5">
        <f ca="1">IFERROR(__xludf.DUMMYFUNCTION("""COMPUTED_VALUE"""),0)</f>
        <v>0</v>
      </c>
      <c r="L274" s="5">
        <f ca="1">IFERROR(__xludf.DUMMYFUNCTION("""COMPUTED_VALUE"""),0)</f>
        <v>0</v>
      </c>
      <c r="M274">
        <f ca="1">IFERROR(__xludf.DUMMYFUNCTION("""COMPUTED_VALUE"""),7)</f>
        <v>7</v>
      </c>
      <c r="N274" s="8"/>
    </row>
    <row r="275" spans="1:14" ht="12.45" hidden="1">
      <c r="A275" t="str">
        <f ca="1">IFERROR(__xludf.DUMMYFUNCTION("""COMPUTED_VALUE"""),"III-4-168")</f>
        <v>III-4-168</v>
      </c>
      <c r="B275" t="str">
        <f ca="1">IFERROR(__xludf.DUMMYFUNCTION("""COMPUTED_VALUE"""),"Епифанова")</f>
        <v>Епифанова</v>
      </c>
      <c r="C275" t="str">
        <f ca="1">IFERROR(__xludf.DUMMYFUNCTION("""COMPUTED_VALUE"""),"Юлия")</f>
        <v>Юлия</v>
      </c>
      <c r="D275" t="str">
        <f ca="1">IFERROR(__xludf.DUMMYFUNCTION("""COMPUTED_VALUE"""),"Гимназия 70")</f>
        <v>Гимназия 70</v>
      </c>
      <c r="E275" s="5">
        <f ca="1">IFERROR(__xludf.DUMMYFUNCTION("""COMPUTED_VALUE"""),7)</f>
        <v>7</v>
      </c>
      <c r="F275" s="5"/>
      <c r="G275" s="5"/>
      <c r="H275" s="5"/>
      <c r="I275" s="5"/>
      <c r="J275" s="5"/>
      <c r="K275" s="5"/>
      <c r="L275" s="5"/>
      <c r="M275">
        <f ca="1">IFERROR(__xludf.DUMMYFUNCTION("""COMPUTED_VALUE"""),7)</f>
        <v>7</v>
      </c>
      <c r="N275" s="8"/>
    </row>
    <row r="276" spans="1:14" ht="12.45" hidden="1">
      <c r="A276" t="str">
        <f ca="1">IFERROR(__xludf.DUMMYFUNCTION("""COMPUTED_VALUE"""),"III-4-198")</f>
        <v>III-4-198</v>
      </c>
      <c r="B276" t="str">
        <f ca="1">IFERROR(__xludf.DUMMYFUNCTION("""COMPUTED_VALUE"""),"Иванычева")</f>
        <v>Иванычева</v>
      </c>
      <c r="C276" t="str">
        <f ca="1">IFERROR(__xludf.DUMMYFUNCTION("""COMPUTED_VALUE"""),"Алена")</f>
        <v>Алена</v>
      </c>
      <c r="D276" t="str">
        <f ca="1">IFERROR(__xludf.DUMMYFUNCTION("""COMPUTED_VALUE"""),"Школа 619")</f>
        <v>Школа 619</v>
      </c>
      <c r="E276" s="5">
        <f ca="1">IFERROR(__xludf.DUMMYFUNCTION("""COMPUTED_VALUE"""),7)</f>
        <v>7</v>
      </c>
      <c r="F276" s="5"/>
      <c r="G276" s="5"/>
      <c r="H276" s="5"/>
      <c r="I276" s="5"/>
      <c r="J276" s="5"/>
      <c r="K276" s="5"/>
      <c r="L276" s="5"/>
      <c r="M276">
        <f ca="1">IFERROR(__xludf.DUMMYFUNCTION("""COMPUTED_VALUE"""),7)</f>
        <v>7</v>
      </c>
      <c r="N276" s="8"/>
    </row>
    <row r="277" spans="1:14" ht="12.45" hidden="1">
      <c r="A277" t="str">
        <f ca="1">IFERROR(__xludf.DUMMYFUNCTION("""COMPUTED_VALUE"""),"III-4-208")</f>
        <v>III-4-208</v>
      </c>
      <c r="B277" t="str">
        <f ca="1">IFERROR(__xludf.DUMMYFUNCTION("""COMPUTED_VALUE"""),"Калугин")</f>
        <v>Калугин</v>
      </c>
      <c r="C277" t="str">
        <f ca="1">IFERROR(__xludf.DUMMYFUNCTION("""COMPUTED_VALUE"""),"Алексей")</f>
        <v>Алексей</v>
      </c>
      <c r="D277" t="str">
        <f ca="1">IFERROR(__xludf.DUMMYFUNCTION("""COMPUTED_VALUE"""),"Лицей 150")</f>
        <v>Лицей 150</v>
      </c>
      <c r="E277" s="5">
        <f ca="1">IFERROR(__xludf.DUMMYFUNCTION("""COMPUTED_VALUE"""),7)</f>
        <v>7</v>
      </c>
      <c r="F277" s="5"/>
      <c r="G277" s="5"/>
      <c r="H277" s="5"/>
      <c r="I277" s="5"/>
      <c r="J277" s="5"/>
      <c r="K277" s="5"/>
      <c r="L277" s="5"/>
      <c r="M277">
        <f ca="1">IFERROR(__xludf.DUMMYFUNCTION("""COMPUTED_VALUE"""),7)</f>
        <v>7</v>
      </c>
      <c r="N277" s="8"/>
    </row>
    <row r="278" spans="1:14" ht="12.45" hidden="1">
      <c r="A278" t="str">
        <f ca="1">IFERROR(__xludf.DUMMYFUNCTION("""COMPUTED_VALUE"""),"III-4-224")</f>
        <v>III-4-224</v>
      </c>
      <c r="B278" t="str">
        <f ca="1">IFERROR(__xludf.DUMMYFUNCTION("""COMPUTED_VALUE"""),"Клименко")</f>
        <v>Клименко</v>
      </c>
      <c r="C278" t="str">
        <f ca="1">IFERROR(__xludf.DUMMYFUNCTION("""COMPUTED_VALUE"""),"Ярослав")</f>
        <v>Ярослав</v>
      </c>
      <c r="D278" t="str">
        <f ca="1">IFERROR(__xludf.DUMMYFUNCTION("""COMPUTED_VALUE"""),"Школа 371")</f>
        <v>Школа 371</v>
      </c>
      <c r="E278" s="5">
        <f ca="1">IFERROR(__xludf.DUMMYFUNCTION("""COMPUTED_VALUE"""),7)</f>
        <v>7</v>
      </c>
      <c r="F278" s="5"/>
      <c r="G278" s="5"/>
      <c r="H278" s="5"/>
      <c r="I278" s="5"/>
      <c r="J278" s="5"/>
      <c r="K278" s="5"/>
      <c r="L278" s="5"/>
      <c r="M278">
        <f ca="1">IFERROR(__xludf.DUMMYFUNCTION("""COMPUTED_VALUE"""),7)</f>
        <v>7</v>
      </c>
      <c r="N278" s="8"/>
    </row>
    <row r="279" spans="1:14" ht="12.45" hidden="1">
      <c r="A279" t="str">
        <f ca="1">IFERROR(__xludf.DUMMYFUNCTION("""COMPUTED_VALUE"""),"III-4-231")</f>
        <v>III-4-231</v>
      </c>
      <c r="B279" t="str">
        <f ca="1">IFERROR(__xludf.DUMMYFUNCTION("""COMPUTED_VALUE"""),"Кондратьев")</f>
        <v>Кондратьев</v>
      </c>
      <c r="C279" t="str">
        <f ca="1">IFERROR(__xludf.DUMMYFUNCTION("""COMPUTED_VALUE"""),"Сергей")</f>
        <v>Сергей</v>
      </c>
      <c r="D279" t="str">
        <f ca="1">IFERROR(__xludf.DUMMYFUNCTION("""COMPUTED_VALUE"""),"Лицей 329")</f>
        <v>Лицей 329</v>
      </c>
      <c r="E279" s="5">
        <f ca="1">IFERROR(__xludf.DUMMYFUNCTION("""COMPUTED_VALUE"""),7)</f>
        <v>7</v>
      </c>
      <c r="F279" s="5"/>
      <c r="G279" s="5"/>
      <c r="H279" s="5"/>
      <c r="I279" s="5"/>
      <c r="J279" s="5"/>
      <c r="K279" s="5"/>
      <c r="L279" s="5"/>
      <c r="M279">
        <f ca="1">IFERROR(__xludf.DUMMYFUNCTION("""COMPUTED_VALUE"""),7)</f>
        <v>7</v>
      </c>
      <c r="N279" s="8"/>
    </row>
    <row r="280" spans="1:14" ht="12.45" hidden="1">
      <c r="A280" t="str">
        <f ca="1">IFERROR(__xludf.DUMMYFUNCTION("""COMPUTED_VALUE"""),"III-4-232")</f>
        <v>III-4-232</v>
      </c>
      <c r="B280" t="str">
        <f ca="1">IFERROR(__xludf.DUMMYFUNCTION("""COMPUTED_VALUE"""),"Кононова")</f>
        <v>Кононова</v>
      </c>
      <c r="C280" t="str">
        <f ca="1">IFERROR(__xludf.DUMMYFUNCTION("""COMPUTED_VALUE"""),"Мария")</f>
        <v>Мария</v>
      </c>
      <c r="D280" t="str">
        <f ca="1">IFERROR(__xludf.DUMMYFUNCTION("""COMPUTED_VALUE"""),"Гимназия 524")</f>
        <v>Гимназия 524</v>
      </c>
      <c r="E280" s="5">
        <f ca="1">IFERROR(__xludf.DUMMYFUNCTION("""COMPUTED_VALUE"""),7)</f>
        <v>7</v>
      </c>
      <c r="F280" s="5"/>
      <c r="G280" s="5"/>
      <c r="H280" s="5"/>
      <c r="I280" s="5"/>
      <c r="J280" s="5"/>
      <c r="K280" s="5"/>
      <c r="L280" s="5"/>
      <c r="M280">
        <f ca="1">IFERROR(__xludf.DUMMYFUNCTION("""COMPUTED_VALUE"""),7)</f>
        <v>7</v>
      </c>
      <c r="N280" s="8"/>
    </row>
    <row r="281" spans="1:14" ht="12.45" hidden="1">
      <c r="A281" t="str">
        <f ca="1">IFERROR(__xludf.DUMMYFUNCTION("""COMPUTED_VALUE"""),"III-4-255")</f>
        <v>III-4-255</v>
      </c>
      <c r="B281" t="str">
        <f ca="1">IFERROR(__xludf.DUMMYFUNCTION("""COMPUTED_VALUE"""),"Куренков")</f>
        <v>Куренков</v>
      </c>
      <c r="C281" t="str">
        <f ca="1">IFERROR(__xludf.DUMMYFUNCTION("""COMPUTED_VALUE"""),"Светозар")</f>
        <v>Светозар</v>
      </c>
      <c r="D281" t="str">
        <f ca="1">IFERROR(__xludf.DUMMYFUNCTION("""COMPUTED_VALUE"""),"Школа 106")</f>
        <v>Школа 106</v>
      </c>
      <c r="E281" s="5"/>
      <c r="F281" s="5"/>
      <c r="G281" s="5">
        <f ca="1">IFERROR(__xludf.DUMMYFUNCTION("""COMPUTED_VALUE"""),2)</f>
        <v>2</v>
      </c>
      <c r="H281" s="5"/>
      <c r="I281" s="5"/>
      <c r="J281" s="5"/>
      <c r="K281" s="5"/>
      <c r="L281" s="5">
        <f ca="1">IFERROR(__xludf.DUMMYFUNCTION("""COMPUTED_VALUE"""),5)</f>
        <v>5</v>
      </c>
      <c r="M281">
        <f ca="1">IFERROR(__xludf.DUMMYFUNCTION("""COMPUTED_VALUE"""),7)</f>
        <v>7</v>
      </c>
      <c r="N281" s="8"/>
    </row>
    <row r="282" spans="1:14" ht="12.45" hidden="1">
      <c r="A282" t="str">
        <f ca="1">IFERROR(__xludf.DUMMYFUNCTION("""COMPUTED_VALUE"""),"III-4-258")</f>
        <v>III-4-258</v>
      </c>
      <c r="B282" t="str">
        <f ca="1">IFERROR(__xludf.DUMMYFUNCTION("""COMPUTED_VALUE"""),"Кучеренко")</f>
        <v>Кучеренко</v>
      </c>
      <c r="C282" t="str">
        <f ca="1">IFERROR(__xludf.DUMMYFUNCTION("""COMPUTED_VALUE"""),"Максим")</f>
        <v>Максим</v>
      </c>
      <c r="D282" t="str">
        <f ca="1">IFERROR(__xludf.DUMMYFUNCTION("""COMPUTED_VALUE"""),"Лицей 419")</f>
        <v>Лицей 419</v>
      </c>
      <c r="E282" s="5">
        <f ca="1">IFERROR(__xludf.DUMMYFUNCTION("""COMPUTED_VALUE"""),7)</f>
        <v>7</v>
      </c>
      <c r="F282" s="5"/>
      <c r="G282" s="5"/>
      <c r="H282" s="5"/>
      <c r="I282" s="5"/>
      <c r="J282" s="5"/>
      <c r="K282" s="5"/>
      <c r="L282" s="5"/>
      <c r="M282">
        <f ca="1">IFERROR(__xludf.DUMMYFUNCTION("""COMPUTED_VALUE"""),7)</f>
        <v>7</v>
      </c>
      <c r="N282" s="8"/>
    </row>
    <row r="283" spans="1:14" ht="12.45" hidden="1">
      <c r="A283" t="str">
        <f ca="1">IFERROR(__xludf.DUMMYFUNCTION("""COMPUTED_VALUE"""),"V-4-273")</f>
        <v>V-4-273</v>
      </c>
      <c r="B283" t="str">
        <f ca="1">IFERROR(__xludf.DUMMYFUNCTION("""COMPUTED_VALUE"""),"Локтионов")</f>
        <v>Локтионов</v>
      </c>
      <c r="C283" t="str">
        <f ca="1">IFERROR(__xludf.DUMMYFUNCTION("""COMPUTED_VALUE"""),"Илья")</f>
        <v>Илья</v>
      </c>
      <c r="D283" t="str">
        <f ca="1">IFERROR(__xludf.DUMMYFUNCTION("""COMPUTED_VALUE"""),"Школа Кузьмоловская средняя школа 1")</f>
        <v>Школа Кузьмоловская средняя школа 1</v>
      </c>
      <c r="E283" s="5">
        <f ca="1">IFERROR(__xludf.DUMMYFUNCTION("""COMPUTED_VALUE"""),7)</f>
        <v>7</v>
      </c>
      <c r="F283" s="5"/>
      <c r="G283" s="5"/>
      <c r="H283" s="5"/>
      <c r="I283" s="5"/>
      <c r="J283" s="5"/>
      <c r="K283" s="5"/>
      <c r="L283" s="5"/>
      <c r="M283">
        <f ca="1">IFERROR(__xludf.DUMMYFUNCTION("""COMPUTED_VALUE"""),7)</f>
        <v>7</v>
      </c>
      <c r="N283" s="8"/>
    </row>
    <row r="284" spans="1:14" ht="12.45" hidden="1">
      <c r="A284" t="str">
        <f ca="1">IFERROR(__xludf.DUMMYFUNCTION("""COMPUTED_VALUE"""),"V-4-277")</f>
        <v>V-4-277</v>
      </c>
      <c r="B284" t="str">
        <f ca="1">IFERROR(__xludf.DUMMYFUNCTION("""COMPUTED_VALUE"""),"Майоров")</f>
        <v>Майоров</v>
      </c>
      <c r="C284" t="str">
        <f ca="1">IFERROR(__xludf.DUMMYFUNCTION("""COMPUTED_VALUE"""),"Дмитрий")</f>
        <v>Дмитрий</v>
      </c>
      <c r="D284" t="str">
        <f ca="1">IFERROR(__xludf.DUMMYFUNCTION("""COMPUTED_VALUE"""),"Школа 619")</f>
        <v>Школа 619</v>
      </c>
      <c r="E284" s="5">
        <f ca="1">IFERROR(__xludf.DUMMYFUNCTION("""COMPUTED_VALUE"""),7)</f>
        <v>7</v>
      </c>
      <c r="F284" s="5"/>
      <c r="G284" s="5"/>
      <c r="H284" s="5"/>
      <c r="I284" s="5"/>
      <c r="J284" s="5"/>
      <c r="K284" s="5"/>
      <c r="L284" s="5"/>
      <c r="M284">
        <f ca="1">IFERROR(__xludf.DUMMYFUNCTION("""COMPUTED_VALUE"""),7)</f>
        <v>7</v>
      </c>
      <c r="N284" s="8"/>
    </row>
    <row r="285" spans="1:14" ht="12.45" hidden="1">
      <c r="A285" t="str">
        <f ca="1">IFERROR(__xludf.DUMMYFUNCTION("""COMPUTED_VALUE"""),"V-4-286")</f>
        <v>V-4-286</v>
      </c>
      <c r="B285" t="str">
        <f ca="1">IFERROR(__xludf.DUMMYFUNCTION("""COMPUTED_VALUE"""),"Манаева")</f>
        <v>Манаева</v>
      </c>
      <c r="C285" t="str">
        <f ca="1">IFERROR(__xludf.DUMMYFUNCTION("""COMPUTED_VALUE"""),"Елизавета")</f>
        <v>Елизавета</v>
      </c>
      <c r="D285" t="str">
        <f ca="1">IFERROR(__xludf.DUMMYFUNCTION("""COMPUTED_VALUE"""),"Гимназия 271")</f>
        <v>Гимназия 271</v>
      </c>
      <c r="E285" s="5">
        <f ca="1">IFERROR(__xludf.DUMMYFUNCTION("""COMPUTED_VALUE"""),7)</f>
        <v>7</v>
      </c>
      <c r="F285" s="5"/>
      <c r="G285" s="5"/>
      <c r="H285" s="5"/>
      <c r="I285" s="5"/>
      <c r="J285" s="5"/>
      <c r="K285" s="5"/>
      <c r="L285" s="5"/>
      <c r="M285">
        <f ca="1">IFERROR(__xludf.DUMMYFUNCTION("""COMPUTED_VALUE"""),7)</f>
        <v>7</v>
      </c>
      <c r="N285" s="8"/>
    </row>
    <row r="286" spans="1:14" ht="12.45" hidden="1">
      <c r="A286" t="str">
        <f ca="1">IFERROR(__xludf.DUMMYFUNCTION("""COMPUTED_VALUE"""),"V-4-298")</f>
        <v>V-4-298</v>
      </c>
      <c r="B286" t="str">
        <f ca="1">IFERROR(__xludf.DUMMYFUNCTION("""COMPUTED_VALUE"""),"Михеева")</f>
        <v>Михеева</v>
      </c>
      <c r="C286" t="str">
        <f ca="1">IFERROR(__xludf.DUMMYFUNCTION("""COMPUTED_VALUE"""),"Юлия")</f>
        <v>Юлия</v>
      </c>
      <c r="D286" t="str">
        <f ca="1">IFERROR(__xludf.DUMMYFUNCTION("""COMPUTED_VALUE"""),"Школа 644")</f>
        <v>Школа 644</v>
      </c>
      <c r="E286" s="5">
        <f ca="1">IFERROR(__xludf.DUMMYFUNCTION("""COMPUTED_VALUE"""),7)</f>
        <v>7</v>
      </c>
      <c r="F286" s="5"/>
      <c r="G286" s="5"/>
      <c r="H286" s="5"/>
      <c r="I286" s="5"/>
      <c r="J286" s="5"/>
      <c r="K286" s="5"/>
      <c r="L286" s="5"/>
      <c r="M286">
        <f ca="1">IFERROR(__xludf.DUMMYFUNCTION("""COMPUTED_VALUE"""),7)</f>
        <v>7</v>
      </c>
      <c r="N286" s="8"/>
    </row>
    <row r="287" spans="1:14" ht="12.45" hidden="1">
      <c r="A287" t="str">
        <f ca="1">IFERROR(__xludf.DUMMYFUNCTION("""COMPUTED_VALUE"""),"V-4-320")</f>
        <v>V-4-320</v>
      </c>
      <c r="B287" t="str">
        <f ca="1">IFERROR(__xludf.DUMMYFUNCTION("""COMPUTED_VALUE"""),"Нигороженко")</f>
        <v>Нигороженко</v>
      </c>
      <c r="C287" t="str">
        <f ca="1">IFERROR(__xludf.DUMMYFUNCTION("""COMPUTED_VALUE"""),"Даниил")</f>
        <v>Даниил</v>
      </c>
      <c r="D287" t="str">
        <f ca="1">IFERROR(__xludf.DUMMYFUNCTION("""COMPUTED_VALUE"""),"Школа 489")</f>
        <v>Школа 489</v>
      </c>
      <c r="E287" s="5">
        <f ca="1">IFERROR(__xludf.DUMMYFUNCTION("""COMPUTED_VALUE"""),7)</f>
        <v>7</v>
      </c>
      <c r="F287" s="5"/>
      <c r="G287" s="5"/>
      <c r="H287" s="5"/>
      <c r="I287" s="5"/>
      <c r="J287" s="5"/>
      <c r="K287" s="5"/>
      <c r="L287" s="5"/>
      <c r="M287">
        <f ca="1">IFERROR(__xludf.DUMMYFUNCTION("""COMPUTED_VALUE"""),7)</f>
        <v>7</v>
      </c>
      <c r="N287" s="8"/>
    </row>
    <row r="288" spans="1:14" ht="12.45" hidden="1">
      <c r="A288" t="str">
        <f ca="1">IFERROR(__xludf.DUMMYFUNCTION("""COMPUTED_VALUE"""),"V-4-323")</f>
        <v>V-4-323</v>
      </c>
      <c r="B288" t="str">
        <f ca="1">IFERROR(__xludf.DUMMYFUNCTION("""COMPUTED_VALUE"""),"Николаева")</f>
        <v>Николаева</v>
      </c>
      <c r="C288" t="str">
        <f ca="1">IFERROR(__xludf.DUMMYFUNCTION("""COMPUTED_VALUE"""),"Анна")</f>
        <v>Анна</v>
      </c>
      <c r="D288" t="str">
        <f ca="1">IFERROR(__xludf.DUMMYFUNCTION("""COMPUTED_VALUE"""),"Гимназия 622")</f>
        <v>Гимназия 622</v>
      </c>
      <c r="E288" s="5"/>
      <c r="F288" s="5">
        <f ca="1">IFERROR(__xludf.DUMMYFUNCTION("""COMPUTED_VALUE"""),5)</f>
        <v>5</v>
      </c>
      <c r="G288" s="5"/>
      <c r="H288" s="5"/>
      <c r="I288" s="5">
        <f ca="1">IFERROR(__xludf.DUMMYFUNCTION("""COMPUTED_VALUE"""),2)</f>
        <v>2</v>
      </c>
      <c r="J288" s="5"/>
      <c r="K288" s="5"/>
      <c r="L288" s="5"/>
      <c r="M288">
        <f ca="1">IFERROR(__xludf.DUMMYFUNCTION("""COMPUTED_VALUE"""),7)</f>
        <v>7</v>
      </c>
      <c r="N288" s="8"/>
    </row>
    <row r="289" spans="1:14" ht="12.45" hidden="1">
      <c r="A289" t="str">
        <f ca="1">IFERROR(__xludf.DUMMYFUNCTION("""COMPUTED_VALUE"""),"V-4-325")</f>
        <v>V-4-325</v>
      </c>
      <c r="B289" t="str">
        <f ca="1">IFERROR(__xludf.DUMMYFUNCTION("""COMPUTED_VALUE"""),"Никулина")</f>
        <v>Никулина</v>
      </c>
      <c r="C289" t="str">
        <f ca="1">IFERROR(__xludf.DUMMYFUNCTION("""COMPUTED_VALUE"""),"Мария")</f>
        <v>Мария</v>
      </c>
      <c r="D289" t="str">
        <f ca="1">IFERROR(__xludf.DUMMYFUNCTION("""COMPUTED_VALUE"""),"Гимназия Вторая Санкт-Петербургская гимназия")</f>
        <v>Гимназия Вторая Санкт-Петербургская гимназия</v>
      </c>
      <c r="E289" s="5">
        <f ca="1">IFERROR(__xludf.DUMMYFUNCTION("""COMPUTED_VALUE"""),7)</f>
        <v>7</v>
      </c>
      <c r="F289" s="5"/>
      <c r="G289" s="5"/>
      <c r="H289" s="5"/>
      <c r="I289" s="5"/>
      <c r="J289" s="5"/>
      <c r="K289" s="5"/>
      <c r="L289" s="5"/>
      <c r="M289">
        <f ca="1">IFERROR(__xludf.DUMMYFUNCTION("""COMPUTED_VALUE"""),7)</f>
        <v>7</v>
      </c>
      <c r="N289" s="8"/>
    </row>
    <row r="290" spans="1:14" ht="12.45" hidden="1">
      <c r="A290" t="str">
        <f ca="1">IFERROR(__xludf.DUMMYFUNCTION("""COMPUTED_VALUE"""),"V-4-335")</f>
        <v>V-4-335</v>
      </c>
      <c r="B290" t="str">
        <f ca="1">IFERROR(__xludf.DUMMYFUNCTION("""COMPUTED_VALUE"""),"Орлов")</f>
        <v>Орлов</v>
      </c>
      <c r="C290" t="str">
        <f ca="1">IFERROR(__xludf.DUMMYFUNCTION("""COMPUTED_VALUE"""),"Тимофей")</f>
        <v>Тимофей</v>
      </c>
      <c r="D290" t="str">
        <f ca="1">IFERROR(__xludf.DUMMYFUNCTION("""COMPUTED_VALUE"""),"Гимназия 628")</f>
        <v>Гимназия 628</v>
      </c>
      <c r="E290" s="5">
        <f ca="1">IFERROR(__xludf.DUMMYFUNCTION("""COMPUTED_VALUE"""),7)</f>
        <v>7</v>
      </c>
      <c r="F290" s="5"/>
      <c r="G290" s="5"/>
      <c r="H290" s="5"/>
      <c r="I290" s="5"/>
      <c r="J290" s="5"/>
      <c r="K290" s="5"/>
      <c r="L290" s="5"/>
      <c r="M290">
        <f ca="1">IFERROR(__xludf.DUMMYFUNCTION("""COMPUTED_VALUE"""),7)</f>
        <v>7</v>
      </c>
      <c r="N290" s="8"/>
    </row>
    <row r="291" spans="1:14" ht="12.45" hidden="1">
      <c r="A291" t="str">
        <f ca="1">IFERROR(__xludf.DUMMYFUNCTION("""COMPUTED_VALUE"""),"V-4-337")</f>
        <v>V-4-337</v>
      </c>
      <c r="B291" t="str">
        <f ca="1">IFERROR(__xludf.DUMMYFUNCTION("""COMPUTED_VALUE"""),"Оружейников")</f>
        <v>Оружейников</v>
      </c>
      <c r="C291" t="str">
        <f ca="1">IFERROR(__xludf.DUMMYFUNCTION("""COMPUTED_VALUE"""),"Артём")</f>
        <v>Артём</v>
      </c>
      <c r="D291" t="str">
        <f ca="1">IFERROR(__xludf.DUMMYFUNCTION("""COMPUTED_VALUE"""),"Школа 206")</f>
        <v>Школа 206</v>
      </c>
      <c r="E291" s="5">
        <f ca="1">IFERROR(__xludf.DUMMYFUNCTION("""COMPUTED_VALUE"""),7)</f>
        <v>7</v>
      </c>
      <c r="F291" s="5"/>
      <c r="G291" s="5"/>
      <c r="H291" s="5"/>
      <c r="I291" s="5"/>
      <c r="J291" s="5"/>
      <c r="K291" s="5"/>
      <c r="L291" s="5"/>
      <c r="M291">
        <f ca="1">IFERROR(__xludf.DUMMYFUNCTION("""COMPUTED_VALUE"""),7)</f>
        <v>7</v>
      </c>
      <c r="N291" s="8"/>
    </row>
    <row r="292" spans="1:14" ht="12.45" hidden="1">
      <c r="A292" t="str">
        <f ca="1">IFERROR(__xludf.DUMMYFUNCTION("""COMPUTED_VALUE"""),"V-4-360")</f>
        <v>V-4-360</v>
      </c>
      <c r="B292" t="str">
        <f ca="1">IFERROR(__xludf.DUMMYFUNCTION("""COMPUTED_VALUE"""),"Поликарпов")</f>
        <v>Поликарпов</v>
      </c>
      <c r="C292" t="str">
        <f ca="1">IFERROR(__xludf.DUMMYFUNCTION("""COMPUTED_VALUE"""),"Филипп")</f>
        <v>Филипп</v>
      </c>
      <c r="D292" t="str">
        <f ca="1">IFERROR(__xludf.DUMMYFUNCTION("""COMPUTED_VALUE"""),"Школа 619")</f>
        <v>Школа 619</v>
      </c>
      <c r="E292" s="5">
        <f ca="1">IFERROR(__xludf.DUMMYFUNCTION("""COMPUTED_VALUE"""),7)</f>
        <v>7</v>
      </c>
      <c r="F292" s="5"/>
      <c r="G292" s="5"/>
      <c r="H292" s="5"/>
      <c r="I292" s="5"/>
      <c r="J292" s="5"/>
      <c r="K292" s="5"/>
      <c r="L292" s="5"/>
      <c r="M292">
        <f ca="1">IFERROR(__xludf.DUMMYFUNCTION("""COMPUTED_VALUE"""),7)</f>
        <v>7</v>
      </c>
      <c r="N292" s="8"/>
    </row>
    <row r="293" spans="1:14" ht="12.45" hidden="1">
      <c r="A293" t="str">
        <f ca="1">IFERROR(__xludf.DUMMYFUNCTION("""COMPUTED_VALUE"""),"V-4-371")</f>
        <v>V-4-371</v>
      </c>
      <c r="B293" t="str">
        <f ca="1">IFERROR(__xludf.DUMMYFUNCTION("""COMPUTED_VALUE"""),"Пронина")</f>
        <v>Пронина</v>
      </c>
      <c r="C293" t="str">
        <f ca="1">IFERROR(__xludf.DUMMYFUNCTION("""COMPUTED_VALUE"""),"Таисия")</f>
        <v>Таисия</v>
      </c>
      <c r="D293" t="str">
        <f ca="1">IFERROR(__xludf.DUMMYFUNCTION("""COMPUTED_VALUE"""),"Гимназия 524")</f>
        <v>Гимназия 524</v>
      </c>
      <c r="E293" s="5">
        <f ca="1">IFERROR(__xludf.DUMMYFUNCTION("""COMPUTED_VALUE"""),7)</f>
        <v>7</v>
      </c>
      <c r="F293" s="5"/>
      <c r="G293" s="5"/>
      <c r="H293" s="5"/>
      <c r="I293" s="5"/>
      <c r="J293" s="5"/>
      <c r="K293" s="5"/>
      <c r="L293" s="5"/>
      <c r="M293">
        <f ca="1">IFERROR(__xludf.DUMMYFUNCTION("""COMPUTED_VALUE"""),7)</f>
        <v>7</v>
      </c>
      <c r="N293" s="8"/>
    </row>
    <row r="294" spans="1:14" ht="12.45" hidden="1">
      <c r="A294" t="str">
        <f ca="1">IFERROR(__xludf.DUMMYFUNCTION("""COMPUTED_VALUE"""),"V-4-373")</f>
        <v>V-4-373</v>
      </c>
      <c r="B294" t="str">
        <f ca="1">IFERROR(__xludf.DUMMYFUNCTION("""COMPUTED_VALUE"""),"Прошина")</f>
        <v>Прошина</v>
      </c>
      <c r="C294" t="str">
        <f ca="1">IFERROR(__xludf.DUMMYFUNCTION("""COMPUTED_VALUE"""),"Анастасия")</f>
        <v>Анастасия</v>
      </c>
      <c r="D294" t="str">
        <f ca="1">IFERROR(__xludf.DUMMYFUNCTION("""COMPUTED_VALUE"""),"Гимназия 70")</f>
        <v>Гимназия 70</v>
      </c>
      <c r="E294" s="5">
        <f ca="1">IFERROR(__xludf.DUMMYFUNCTION("""COMPUTED_VALUE"""),7)</f>
        <v>7</v>
      </c>
      <c r="F294" s="5"/>
      <c r="G294" s="5"/>
      <c r="H294" s="5"/>
      <c r="I294" s="5"/>
      <c r="J294" s="5"/>
      <c r="K294" s="5"/>
      <c r="L294" s="5"/>
      <c r="M294">
        <f ca="1">IFERROR(__xludf.DUMMYFUNCTION("""COMPUTED_VALUE"""),7)</f>
        <v>7</v>
      </c>
      <c r="N294" s="8"/>
    </row>
    <row r="295" spans="1:14" ht="12.45" hidden="1">
      <c r="A295" t="str">
        <f ca="1">IFERROR(__xludf.DUMMYFUNCTION("""COMPUTED_VALUE"""),"V-4-384")</f>
        <v>V-4-384</v>
      </c>
      <c r="B295" t="str">
        <f ca="1">IFERROR(__xludf.DUMMYFUNCTION("""COMPUTED_VALUE"""),"Раневская")</f>
        <v>Раневская</v>
      </c>
      <c r="C295" t="str">
        <f ca="1">IFERROR(__xludf.DUMMYFUNCTION("""COMPUTED_VALUE"""),"Мария")</f>
        <v>Мария</v>
      </c>
      <c r="D295" t="str">
        <f ca="1">IFERROR(__xludf.DUMMYFUNCTION("""COMPUTED_VALUE"""),"Школа 589")</f>
        <v>Школа 589</v>
      </c>
      <c r="E295" s="5">
        <f ca="1">IFERROR(__xludf.DUMMYFUNCTION("""COMPUTED_VALUE"""),7)</f>
        <v>7</v>
      </c>
      <c r="F295" s="5"/>
      <c r="G295" s="5"/>
      <c r="H295" s="5"/>
      <c r="I295" s="5"/>
      <c r="J295" s="5"/>
      <c r="K295" s="5"/>
      <c r="L295" s="5"/>
      <c r="M295">
        <f ca="1">IFERROR(__xludf.DUMMYFUNCTION("""COMPUTED_VALUE"""),7)</f>
        <v>7</v>
      </c>
      <c r="N295" s="8"/>
    </row>
    <row r="296" spans="1:14" ht="12.45" hidden="1">
      <c r="A296" t="str">
        <f ca="1">IFERROR(__xludf.DUMMYFUNCTION("""COMPUTED_VALUE"""),"V-4-395")</f>
        <v>V-4-395</v>
      </c>
      <c r="B296" t="str">
        <f ca="1">IFERROR(__xludf.DUMMYFUNCTION("""COMPUTED_VALUE"""),"Рудский")</f>
        <v>Рудский</v>
      </c>
      <c r="C296" t="str">
        <f ca="1">IFERROR(__xludf.DUMMYFUNCTION("""COMPUTED_VALUE"""),"Алексей")</f>
        <v>Алексей</v>
      </c>
      <c r="D296" t="str">
        <f ca="1">IFERROR(__xludf.DUMMYFUNCTION("""COMPUTED_VALUE"""),"Школа 619")</f>
        <v>Школа 619</v>
      </c>
      <c r="E296" s="5">
        <f ca="1">IFERROR(__xludf.DUMMYFUNCTION("""COMPUTED_VALUE"""),7)</f>
        <v>7</v>
      </c>
      <c r="F296" s="5"/>
      <c r="G296" s="5"/>
      <c r="H296" s="5"/>
      <c r="I296" s="5"/>
      <c r="J296" s="5"/>
      <c r="K296" s="5"/>
      <c r="L296" s="5"/>
      <c r="M296">
        <f ca="1">IFERROR(__xludf.DUMMYFUNCTION("""COMPUTED_VALUE"""),7)</f>
        <v>7</v>
      </c>
      <c r="N296" s="8"/>
    </row>
    <row r="297" spans="1:14" ht="12.45" hidden="1">
      <c r="A297" t="str">
        <f ca="1">IFERROR(__xludf.DUMMYFUNCTION("""COMPUTED_VALUE"""),"V-4-399")</f>
        <v>V-4-399</v>
      </c>
      <c r="B297" t="str">
        <f ca="1">IFERROR(__xludf.DUMMYFUNCTION("""COMPUTED_VALUE"""),"Русинов")</f>
        <v>Русинов</v>
      </c>
      <c r="C297" t="str">
        <f ca="1">IFERROR(__xludf.DUMMYFUNCTION("""COMPUTED_VALUE"""),"Роман")</f>
        <v>Роман</v>
      </c>
      <c r="D297" t="str">
        <f ca="1">IFERROR(__xludf.DUMMYFUNCTION("""COMPUTED_VALUE"""),"Школа 598")</f>
        <v>Школа 598</v>
      </c>
      <c r="E297" s="5">
        <f ca="1">IFERROR(__xludf.DUMMYFUNCTION("""COMPUTED_VALUE"""),7)</f>
        <v>7</v>
      </c>
      <c r="F297" s="5"/>
      <c r="G297" s="5"/>
      <c r="H297" s="5"/>
      <c r="I297" s="5"/>
      <c r="J297" s="5"/>
      <c r="K297" s="5"/>
      <c r="L297" s="5"/>
      <c r="M297">
        <f ca="1">IFERROR(__xludf.DUMMYFUNCTION("""COMPUTED_VALUE"""),7)</f>
        <v>7</v>
      </c>
      <c r="N297" s="8"/>
    </row>
    <row r="298" spans="1:14" ht="12.45" hidden="1">
      <c r="A298" t="str">
        <f ca="1">IFERROR(__xludf.DUMMYFUNCTION("""COMPUTED_VALUE"""),"V-4-402")</f>
        <v>V-4-402</v>
      </c>
      <c r="B298" t="str">
        <f ca="1">IFERROR(__xludf.DUMMYFUNCTION("""COMPUTED_VALUE"""),"Рыжик")</f>
        <v>Рыжик</v>
      </c>
      <c r="C298" t="str">
        <f ca="1">IFERROR(__xludf.DUMMYFUNCTION("""COMPUTED_VALUE"""),"Геннадий")</f>
        <v>Геннадий</v>
      </c>
      <c r="D298" t="str">
        <f ca="1">IFERROR(__xludf.DUMMYFUNCTION("""COMPUTED_VALUE"""),"Школа 700")</f>
        <v>Школа 700</v>
      </c>
      <c r="E298" s="5">
        <f ca="1">IFERROR(__xludf.DUMMYFUNCTION("""COMPUTED_VALUE"""),7)</f>
        <v>7</v>
      </c>
      <c r="F298" s="5"/>
      <c r="G298" s="5"/>
      <c r="H298" s="5"/>
      <c r="I298" s="5"/>
      <c r="J298" s="5"/>
      <c r="K298" s="5"/>
      <c r="L298" s="5"/>
      <c r="M298">
        <f ca="1">IFERROR(__xludf.DUMMYFUNCTION("""COMPUTED_VALUE"""),7)</f>
        <v>7</v>
      </c>
      <c r="N298" s="8"/>
    </row>
    <row r="299" spans="1:14" ht="12.45" hidden="1">
      <c r="A299" t="str">
        <f ca="1">IFERROR(__xludf.DUMMYFUNCTION("""COMPUTED_VALUE"""),"V-4-409")</f>
        <v>V-4-409</v>
      </c>
      <c r="B299" t="str">
        <f ca="1">IFERROR(__xludf.DUMMYFUNCTION("""COMPUTED_VALUE"""),"Сажин")</f>
        <v>Сажин</v>
      </c>
      <c r="C299" t="str">
        <f ca="1">IFERROR(__xludf.DUMMYFUNCTION("""COMPUTED_VALUE"""),"Фёдор")</f>
        <v>Фёдор</v>
      </c>
      <c r="D299" t="str">
        <f ca="1">IFERROR(__xludf.DUMMYFUNCTION("""COMPUTED_VALUE"""),"Гимназия 92")</f>
        <v>Гимназия 92</v>
      </c>
      <c r="E299" s="5">
        <f ca="1">IFERROR(__xludf.DUMMYFUNCTION("""COMPUTED_VALUE"""),2)</f>
        <v>2</v>
      </c>
      <c r="F299" s="5">
        <f ca="1">IFERROR(__xludf.DUMMYFUNCTION("""COMPUTED_VALUE"""),3)</f>
        <v>3</v>
      </c>
      <c r="G299" s="5"/>
      <c r="H299" s="5"/>
      <c r="I299" s="5"/>
      <c r="J299" s="5"/>
      <c r="K299" s="5"/>
      <c r="L299" s="5">
        <f ca="1">IFERROR(__xludf.DUMMYFUNCTION("""COMPUTED_VALUE"""),2)</f>
        <v>2</v>
      </c>
      <c r="M299">
        <f ca="1">IFERROR(__xludf.DUMMYFUNCTION("""COMPUTED_VALUE"""),7)</f>
        <v>7</v>
      </c>
      <c r="N299" s="8"/>
    </row>
    <row r="300" spans="1:14" ht="12.45" hidden="1">
      <c r="A300" t="str">
        <f ca="1">IFERROR(__xludf.DUMMYFUNCTION("""COMPUTED_VALUE"""),"V-4-431")</f>
        <v>V-4-431</v>
      </c>
      <c r="B300" t="str">
        <f ca="1">IFERROR(__xludf.DUMMYFUNCTION("""COMPUTED_VALUE"""),"Соловьёв")</f>
        <v>Соловьёв</v>
      </c>
      <c r="C300" t="str">
        <f ca="1">IFERROR(__xludf.DUMMYFUNCTION("""COMPUTED_VALUE"""),"Георгий")</f>
        <v>Георгий</v>
      </c>
      <c r="D300" t="str">
        <f ca="1">IFERROR(__xludf.DUMMYFUNCTION("""COMPUTED_VALUE"""),"Гимназия 1")</f>
        <v>Гимназия 1</v>
      </c>
      <c r="E300" s="5">
        <f ca="1">IFERROR(__xludf.DUMMYFUNCTION("""COMPUTED_VALUE"""),7)</f>
        <v>7</v>
      </c>
      <c r="F300" s="5"/>
      <c r="G300" s="5"/>
      <c r="H300" s="5"/>
      <c r="I300" s="5"/>
      <c r="J300" s="5"/>
      <c r="K300" s="5"/>
      <c r="L300" s="5"/>
      <c r="M300">
        <f ca="1">IFERROR(__xludf.DUMMYFUNCTION("""COMPUTED_VALUE"""),7)</f>
        <v>7</v>
      </c>
      <c r="N300" s="8"/>
    </row>
    <row r="301" spans="1:14" ht="12.45" hidden="1">
      <c r="A301" t="str">
        <f ca="1">IFERROR(__xludf.DUMMYFUNCTION("""COMPUTED_VALUE"""),"V-4-455")</f>
        <v>V-4-455</v>
      </c>
      <c r="B301" t="str">
        <f ca="1">IFERROR(__xludf.DUMMYFUNCTION("""COMPUTED_VALUE"""),"Томах")</f>
        <v>Томах</v>
      </c>
      <c r="C301" t="str">
        <f ca="1">IFERROR(__xludf.DUMMYFUNCTION("""COMPUTED_VALUE"""),"Леонид")</f>
        <v>Леонид</v>
      </c>
      <c r="D301" t="str">
        <f ca="1">IFERROR(__xludf.DUMMYFUNCTION("""COMPUTED_VALUE"""),"Школа 36")</f>
        <v>Школа 36</v>
      </c>
      <c r="E301" s="5">
        <f ca="1">IFERROR(__xludf.DUMMYFUNCTION("""COMPUTED_VALUE"""),7)</f>
        <v>7</v>
      </c>
      <c r="F301" s="5"/>
      <c r="G301" s="5"/>
      <c r="H301" s="5"/>
      <c r="I301" s="5"/>
      <c r="J301" s="5"/>
      <c r="K301" s="5"/>
      <c r="L301" s="5"/>
      <c r="M301">
        <f ca="1">IFERROR(__xludf.DUMMYFUNCTION("""COMPUTED_VALUE"""),7)</f>
        <v>7</v>
      </c>
      <c r="N301" s="8"/>
    </row>
    <row r="302" spans="1:14" ht="12.45" hidden="1">
      <c r="A302" t="str">
        <f ca="1">IFERROR(__xludf.DUMMYFUNCTION("""COMPUTED_VALUE"""),"V-4-456")</f>
        <v>V-4-456</v>
      </c>
      <c r="B302" t="str">
        <f ca="1">IFERROR(__xludf.DUMMYFUNCTION("""COMPUTED_VALUE"""),"Тонких")</f>
        <v>Тонких</v>
      </c>
      <c r="C302" t="str">
        <f ca="1">IFERROR(__xludf.DUMMYFUNCTION("""COMPUTED_VALUE"""),"Иван")</f>
        <v>Иван</v>
      </c>
      <c r="D302" t="str">
        <f ca="1">IFERROR(__xludf.DUMMYFUNCTION("""COMPUTED_VALUE"""),"Лицей 470")</f>
        <v>Лицей 470</v>
      </c>
      <c r="E302" s="5">
        <f ca="1">IFERROR(__xludf.DUMMYFUNCTION("""COMPUTED_VALUE"""),7)</f>
        <v>7</v>
      </c>
      <c r="F302" s="5"/>
      <c r="G302" s="5"/>
      <c r="H302" s="5"/>
      <c r="I302" s="5"/>
      <c r="J302" s="5"/>
      <c r="K302" s="5"/>
      <c r="L302" s="5"/>
      <c r="M302">
        <f ca="1">IFERROR(__xludf.DUMMYFUNCTION("""COMPUTED_VALUE"""),7)</f>
        <v>7</v>
      </c>
      <c r="N302" s="8"/>
    </row>
    <row r="303" spans="1:14" ht="12.45" hidden="1">
      <c r="A303" t="str">
        <f ca="1">IFERROR(__xludf.DUMMYFUNCTION("""COMPUTED_VALUE"""),"V-4-457")</f>
        <v>V-4-457</v>
      </c>
      <c r="B303" t="str">
        <f ca="1">IFERROR(__xludf.DUMMYFUNCTION("""COMPUTED_VALUE"""),"Трифонов")</f>
        <v>Трифонов</v>
      </c>
      <c r="C303" t="str">
        <f ca="1">IFERROR(__xludf.DUMMYFUNCTION("""COMPUTED_VALUE"""),"Артем")</f>
        <v>Артем</v>
      </c>
      <c r="D303" t="str">
        <f ca="1">IFERROR(__xludf.DUMMYFUNCTION("""COMPUTED_VALUE"""),"Школа 619")</f>
        <v>Школа 619</v>
      </c>
      <c r="E303" s="5">
        <f ca="1">IFERROR(__xludf.DUMMYFUNCTION("""COMPUTED_VALUE"""),7)</f>
        <v>7</v>
      </c>
      <c r="F303" s="5"/>
      <c r="G303" s="5"/>
      <c r="H303" s="5"/>
      <c r="I303" s="5"/>
      <c r="J303" s="5"/>
      <c r="K303" s="5"/>
      <c r="L303" s="5"/>
      <c r="M303">
        <f ca="1">IFERROR(__xludf.DUMMYFUNCTION("""COMPUTED_VALUE"""),7)</f>
        <v>7</v>
      </c>
      <c r="N303" s="8"/>
    </row>
    <row r="304" spans="1:14" ht="12.45" hidden="1">
      <c r="A304" t="str">
        <f ca="1">IFERROR(__xludf.DUMMYFUNCTION("""COMPUTED_VALUE"""),"V-4-458")</f>
        <v>V-4-458</v>
      </c>
      <c r="B304" t="str">
        <f ca="1">IFERROR(__xludf.DUMMYFUNCTION("""COMPUTED_VALUE"""),"Тропилло")</f>
        <v>Тропилло</v>
      </c>
      <c r="C304" t="str">
        <f ca="1">IFERROR(__xludf.DUMMYFUNCTION("""COMPUTED_VALUE"""),"Ульяна")</f>
        <v>Ульяна</v>
      </c>
      <c r="D304" t="str">
        <f ca="1">IFERROR(__xludf.DUMMYFUNCTION("""COMPUTED_VALUE"""),"Школа 700")</f>
        <v>Школа 700</v>
      </c>
      <c r="E304" s="5">
        <f ca="1">IFERROR(__xludf.DUMMYFUNCTION("""COMPUTED_VALUE"""),7)</f>
        <v>7</v>
      </c>
      <c r="F304" s="5"/>
      <c r="G304" s="5"/>
      <c r="H304" s="5"/>
      <c r="I304" s="5"/>
      <c r="J304" s="5"/>
      <c r="K304" s="5"/>
      <c r="L304" s="5"/>
      <c r="M304">
        <f ca="1">IFERROR(__xludf.DUMMYFUNCTION("""COMPUTED_VALUE"""),7)</f>
        <v>7</v>
      </c>
      <c r="N304" s="8"/>
    </row>
    <row r="305" spans="1:14" ht="12.45" hidden="1">
      <c r="A305" t="str">
        <f ca="1">IFERROR(__xludf.DUMMYFUNCTION("""COMPUTED_VALUE"""),"V-4-469")</f>
        <v>V-4-469</v>
      </c>
      <c r="B305" t="str">
        <f ca="1">IFERROR(__xludf.DUMMYFUNCTION("""COMPUTED_VALUE"""),"Федорин")</f>
        <v>Федорин</v>
      </c>
      <c r="C305" t="str">
        <f ca="1">IFERROR(__xludf.DUMMYFUNCTION("""COMPUTED_VALUE"""),"Макар")</f>
        <v>Макар</v>
      </c>
      <c r="D305" t="str">
        <f ca="1">IFERROR(__xludf.DUMMYFUNCTION("""COMPUTED_VALUE"""),"Школа 489")</f>
        <v>Школа 489</v>
      </c>
      <c r="E305" s="5">
        <f ca="1">IFERROR(__xludf.DUMMYFUNCTION("""COMPUTED_VALUE"""),7)</f>
        <v>7</v>
      </c>
      <c r="F305" s="5"/>
      <c r="G305" s="5"/>
      <c r="H305" s="5"/>
      <c r="I305" s="5"/>
      <c r="J305" s="5"/>
      <c r="K305" s="5"/>
      <c r="L305" s="5"/>
      <c r="M305">
        <f ca="1">IFERROR(__xludf.DUMMYFUNCTION("""COMPUTED_VALUE"""),7)</f>
        <v>7</v>
      </c>
      <c r="N305" s="8"/>
    </row>
    <row r="306" spans="1:14" ht="12.45" hidden="1">
      <c r="A306" t="str">
        <f ca="1">IFERROR(__xludf.DUMMYFUNCTION("""COMPUTED_VALUE"""),"V-4-482")</f>
        <v>V-4-482</v>
      </c>
      <c r="B306" t="str">
        <f ca="1">IFERROR(__xludf.DUMMYFUNCTION("""COMPUTED_VALUE"""),"Хонтулев")</f>
        <v>Хонтулев</v>
      </c>
      <c r="C306" t="str">
        <f ca="1">IFERROR(__xludf.DUMMYFUNCTION("""COMPUTED_VALUE"""),"Никита")</f>
        <v>Никита</v>
      </c>
      <c r="D306" t="str">
        <f ca="1">IFERROR(__xludf.DUMMYFUNCTION("""COMPUTED_VALUE"""),"Лицей 273")</f>
        <v>Лицей 273</v>
      </c>
      <c r="E306" s="5">
        <f ca="1">IFERROR(__xludf.DUMMYFUNCTION("""COMPUTED_VALUE"""),7)</f>
        <v>7</v>
      </c>
      <c r="F306" s="5"/>
      <c r="G306" s="5"/>
      <c r="H306" s="5"/>
      <c r="I306" s="5"/>
      <c r="J306" s="5"/>
      <c r="K306" s="5"/>
      <c r="L306" s="5"/>
      <c r="M306">
        <f ca="1">IFERROR(__xludf.DUMMYFUNCTION("""COMPUTED_VALUE"""),7)</f>
        <v>7</v>
      </c>
      <c r="N306" s="8"/>
    </row>
    <row r="307" spans="1:14" ht="12.45" hidden="1">
      <c r="A307" t="str">
        <f ca="1">IFERROR(__xludf.DUMMYFUNCTION("""COMPUTED_VALUE"""),"V-4-488")</f>
        <v>V-4-488</v>
      </c>
      <c r="B307" t="str">
        <f ca="1">IFERROR(__xludf.DUMMYFUNCTION("""COMPUTED_VALUE"""),"Черненко")</f>
        <v>Черненко</v>
      </c>
      <c r="C307" t="str">
        <f ca="1">IFERROR(__xludf.DUMMYFUNCTION("""COMPUTED_VALUE"""),"Мирон")</f>
        <v>Мирон</v>
      </c>
      <c r="D307" t="str">
        <f ca="1">IFERROR(__xludf.DUMMYFUNCTION("""COMPUTED_VALUE"""),"Лицей 179")</f>
        <v>Лицей 179</v>
      </c>
      <c r="E307" s="5">
        <f ca="1">IFERROR(__xludf.DUMMYFUNCTION("""COMPUTED_VALUE"""),7)</f>
        <v>7</v>
      </c>
      <c r="F307" s="5"/>
      <c r="G307" s="5"/>
      <c r="H307" s="5"/>
      <c r="I307" s="5"/>
      <c r="J307" s="5"/>
      <c r="K307" s="5"/>
      <c r="L307" s="5"/>
      <c r="M307">
        <f ca="1">IFERROR(__xludf.DUMMYFUNCTION("""COMPUTED_VALUE"""),7)</f>
        <v>7</v>
      </c>
      <c r="N307" s="8"/>
    </row>
    <row r="308" spans="1:14" ht="12.45" hidden="1">
      <c r="A308" t="str">
        <f ca="1">IFERROR(__xludf.DUMMYFUNCTION("""COMPUTED_VALUE"""),"V-4-500")</f>
        <v>V-4-500</v>
      </c>
      <c r="B308" t="str">
        <f ca="1">IFERROR(__xludf.DUMMYFUNCTION("""COMPUTED_VALUE"""),"Шведова")</f>
        <v>Шведова</v>
      </c>
      <c r="C308" t="str">
        <f ca="1">IFERROR(__xludf.DUMMYFUNCTION("""COMPUTED_VALUE"""),"Алена")</f>
        <v>Алена</v>
      </c>
      <c r="D308" t="str">
        <f ca="1">IFERROR(__xludf.DUMMYFUNCTION("""COMPUTED_VALUE"""),"Лицей 597")</f>
        <v>Лицей 597</v>
      </c>
      <c r="E308" s="5">
        <f ca="1">IFERROR(__xludf.DUMMYFUNCTION("""COMPUTED_VALUE"""),7)</f>
        <v>7</v>
      </c>
      <c r="F308" s="5"/>
      <c r="G308" s="5"/>
      <c r="H308" s="5"/>
      <c r="I308" s="5"/>
      <c r="J308" s="5"/>
      <c r="K308" s="5"/>
      <c r="L308" s="5"/>
      <c r="M308">
        <f ca="1">IFERROR(__xludf.DUMMYFUNCTION("""COMPUTED_VALUE"""),7)</f>
        <v>7</v>
      </c>
      <c r="N308" s="8"/>
    </row>
    <row r="309" spans="1:14" ht="12.45" hidden="1">
      <c r="A309" t="str">
        <f ca="1">IFERROR(__xludf.DUMMYFUNCTION("""COMPUTED_VALUE"""),"V-4-501")</f>
        <v>V-4-501</v>
      </c>
      <c r="B309" t="str">
        <f ca="1">IFERROR(__xludf.DUMMYFUNCTION("""COMPUTED_VALUE"""),"Шевердяков")</f>
        <v>Шевердяков</v>
      </c>
      <c r="C309" t="str">
        <f ca="1">IFERROR(__xludf.DUMMYFUNCTION("""COMPUTED_VALUE"""),"Владимир")</f>
        <v>Владимир</v>
      </c>
      <c r="D309" t="str">
        <f ca="1">IFERROR(__xludf.DUMMYFUNCTION("""COMPUTED_VALUE"""),"Школа 324")</f>
        <v>Школа 324</v>
      </c>
      <c r="E309" s="5">
        <f ca="1">IFERROR(__xludf.DUMMYFUNCTION("""COMPUTED_VALUE"""),7)</f>
        <v>7</v>
      </c>
      <c r="F309" s="5"/>
      <c r="G309" s="5"/>
      <c r="H309" s="5"/>
      <c r="I309" s="5"/>
      <c r="J309" s="5"/>
      <c r="K309" s="5"/>
      <c r="L309" s="5"/>
      <c r="M309">
        <f ca="1">IFERROR(__xludf.DUMMYFUNCTION("""COMPUTED_VALUE"""),7)</f>
        <v>7</v>
      </c>
      <c r="N309" s="8"/>
    </row>
    <row r="310" spans="1:14" ht="12.45" hidden="1">
      <c r="A310" t="str">
        <f ca="1">IFERROR(__xludf.DUMMYFUNCTION("""COMPUTED_VALUE"""),"V-4-516")</f>
        <v>V-4-516</v>
      </c>
      <c r="B310" t="str">
        <f ca="1">IFERROR(__xludf.DUMMYFUNCTION("""COMPUTED_VALUE"""),"Шубинский")</f>
        <v>Шубинский</v>
      </c>
      <c r="C310" t="str">
        <f ca="1">IFERROR(__xludf.DUMMYFUNCTION("""COMPUTED_VALUE"""),"Дмитрий")</f>
        <v>Дмитрий</v>
      </c>
      <c r="D310" t="str">
        <f ca="1">IFERROR(__xludf.DUMMYFUNCTION("""COMPUTED_VALUE"""),"Гимназия 622")</f>
        <v>Гимназия 622</v>
      </c>
      <c r="E310" s="5">
        <f ca="1">IFERROR(__xludf.DUMMYFUNCTION("""COMPUTED_VALUE"""),2)</f>
        <v>2</v>
      </c>
      <c r="F310" s="5">
        <f ca="1">IFERROR(__xludf.DUMMYFUNCTION("""COMPUTED_VALUE"""),3)</f>
        <v>3</v>
      </c>
      <c r="G310" s="5"/>
      <c r="H310" s="5"/>
      <c r="I310" s="5">
        <f ca="1">IFERROR(__xludf.DUMMYFUNCTION("""COMPUTED_VALUE"""),2)</f>
        <v>2</v>
      </c>
      <c r="J310" s="5"/>
      <c r="K310" s="5"/>
      <c r="L310" s="5"/>
      <c r="M310">
        <f ca="1">IFERROR(__xludf.DUMMYFUNCTION("""COMPUTED_VALUE"""),7)</f>
        <v>7</v>
      </c>
      <c r="N310" s="8"/>
    </row>
    <row r="311" spans="1:14" ht="12.45" hidden="1">
      <c r="A311" t="str">
        <f ca="1">IFERROR(__xludf.DUMMYFUNCTION("""COMPUTED_VALUE"""),"V-4-517")</f>
        <v>V-4-517</v>
      </c>
      <c r="B311" t="str">
        <f ca="1">IFERROR(__xludf.DUMMYFUNCTION("""COMPUTED_VALUE"""),"Шумилова")</f>
        <v>Шумилова</v>
      </c>
      <c r="C311" t="str">
        <f ca="1">IFERROR(__xludf.DUMMYFUNCTION("""COMPUTED_VALUE"""),"Анастасия")</f>
        <v>Анастасия</v>
      </c>
      <c r="D311" t="str">
        <f ca="1">IFERROR(__xludf.DUMMYFUNCTION("""COMPUTED_VALUE"""),"Школа Бугровская школа")</f>
        <v>Школа Бугровская школа</v>
      </c>
      <c r="E311" s="5">
        <f ca="1">IFERROR(__xludf.DUMMYFUNCTION("""COMPUTED_VALUE"""),7)</f>
        <v>7</v>
      </c>
      <c r="F311" s="5"/>
      <c r="G311" s="5"/>
      <c r="H311" s="5"/>
      <c r="I311" s="5"/>
      <c r="J311" s="5"/>
      <c r="K311" s="5"/>
      <c r="L311" s="5"/>
      <c r="M311">
        <f ca="1">IFERROR(__xludf.DUMMYFUNCTION("""COMPUTED_VALUE"""),7)</f>
        <v>7</v>
      </c>
      <c r="N311" s="8"/>
    </row>
    <row r="312" spans="1:14" ht="12.45" hidden="1">
      <c r="A312" t="str">
        <f ca="1">IFERROR(__xludf.DUMMYFUNCTION("""COMPUTED_VALUE"""),"III-4-140")</f>
        <v>III-4-140</v>
      </c>
      <c r="B312" t="str">
        <f ca="1">IFERROR(__xludf.DUMMYFUNCTION("""COMPUTED_VALUE"""),"Гусев")</f>
        <v>Гусев</v>
      </c>
      <c r="C312" t="str">
        <f ca="1">IFERROR(__xludf.DUMMYFUNCTION("""COMPUTED_VALUE"""),"Тимофей")</f>
        <v>Тимофей</v>
      </c>
      <c r="D312" t="str">
        <f ca="1">IFERROR(__xludf.DUMMYFUNCTION("""COMPUTED_VALUE"""),"Лицей 64")</f>
        <v>Лицей 64</v>
      </c>
      <c r="E312" s="5">
        <f ca="1">IFERROR(__xludf.DUMMYFUNCTION("""COMPUTED_VALUE"""),2)</f>
        <v>2</v>
      </c>
      <c r="F312" s="5">
        <f ca="1">IFERROR(__xludf.DUMMYFUNCTION("""COMPUTED_VALUE"""),2)</f>
        <v>2</v>
      </c>
      <c r="G312" s="5"/>
      <c r="H312" s="5"/>
      <c r="I312" s="5">
        <f ca="1">IFERROR(__xludf.DUMMYFUNCTION("""COMPUTED_VALUE"""),2)</f>
        <v>2</v>
      </c>
      <c r="J312" s="5"/>
      <c r="K312" s="5"/>
      <c r="L312" s="5"/>
      <c r="M312">
        <f ca="1">IFERROR(__xludf.DUMMYFUNCTION("""COMPUTED_VALUE"""),6)</f>
        <v>6</v>
      </c>
      <c r="N312" s="8"/>
    </row>
    <row r="313" spans="1:14" ht="12.45" hidden="1">
      <c r="A313" t="str">
        <f ca="1">IFERROR(__xludf.DUMMYFUNCTION("""COMPUTED_VALUE"""),"V-4-285")</f>
        <v>V-4-285</v>
      </c>
      <c r="B313" t="str">
        <f ca="1">IFERROR(__xludf.DUMMYFUNCTION("""COMPUTED_VALUE"""),"Малюкова")</f>
        <v>Малюкова</v>
      </c>
      <c r="C313" t="str">
        <f ca="1">IFERROR(__xludf.DUMMYFUNCTION("""COMPUTED_VALUE"""),"Александра")</f>
        <v>Александра</v>
      </c>
      <c r="D313" t="str">
        <f ca="1">IFERROR(__xludf.DUMMYFUNCTION("""COMPUTED_VALUE"""),"Лицей 419")</f>
        <v>Лицей 419</v>
      </c>
      <c r="E313" s="5">
        <f ca="1">IFERROR(__xludf.DUMMYFUNCTION("""COMPUTED_VALUE"""),2)</f>
        <v>2</v>
      </c>
      <c r="F313" s="5"/>
      <c r="G313" s="5"/>
      <c r="H313" s="5">
        <f ca="1">IFERROR(__xludf.DUMMYFUNCTION("""COMPUTED_VALUE"""),4)</f>
        <v>4</v>
      </c>
      <c r="I313" s="5"/>
      <c r="J313" s="5"/>
      <c r="K313" s="5"/>
      <c r="L313" s="5"/>
      <c r="M313">
        <f ca="1">IFERROR(__xludf.DUMMYFUNCTION("""COMPUTED_VALUE"""),6)</f>
        <v>6</v>
      </c>
      <c r="N313" s="8"/>
    </row>
    <row r="314" spans="1:14" ht="12.45" hidden="1">
      <c r="A314" t="str">
        <f ca="1">IFERROR(__xludf.DUMMYFUNCTION("""COMPUTED_VALUE"""),"V-4-287")</f>
        <v>V-4-287</v>
      </c>
      <c r="B314" t="str">
        <f ca="1">IFERROR(__xludf.DUMMYFUNCTION("""COMPUTED_VALUE"""),"Маренин")</f>
        <v>Маренин</v>
      </c>
      <c r="C314" t="str">
        <f ca="1">IFERROR(__xludf.DUMMYFUNCTION("""COMPUTED_VALUE"""),"Алексей")</f>
        <v>Алексей</v>
      </c>
      <c r="D314" t="str">
        <f ca="1">IFERROR(__xludf.DUMMYFUNCTION("""COMPUTED_VALUE"""),"Школа 71")</f>
        <v>Школа 71</v>
      </c>
      <c r="E314" s="5">
        <f ca="1">IFERROR(__xludf.DUMMYFUNCTION("""COMPUTED_VALUE"""),2)</f>
        <v>2</v>
      </c>
      <c r="F314" s="5"/>
      <c r="G314" s="5">
        <f ca="1">IFERROR(__xludf.DUMMYFUNCTION("""COMPUTED_VALUE"""),2)</f>
        <v>2</v>
      </c>
      <c r="H314" s="5"/>
      <c r="I314" s="5">
        <f ca="1">IFERROR(__xludf.DUMMYFUNCTION("""COMPUTED_VALUE"""),2)</f>
        <v>2</v>
      </c>
      <c r="J314" s="5"/>
      <c r="K314" s="5"/>
      <c r="L314" s="5"/>
      <c r="M314">
        <f ca="1">IFERROR(__xludf.DUMMYFUNCTION("""COMPUTED_VALUE"""),6)</f>
        <v>6</v>
      </c>
      <c r="N314" s="8"/>
    </row>
    <row r="315" spans="1:14" ht="12.45" hidden="1">
      <c r="A315" t="str">
        <f ca="1">IFERROR(__xludf.DUMMYFUNCTION("""COMPUTED_VALUE"""),"V-4-331")</f>
        <v>V-4-331</v>
      </c>
      <c r="B315" t="str">
        <f ca="1">IFERROR(__xludf.DUMMYFUNCTION("""COMPUTED_VALUE"""),"Оганян")</f>
        <v>Оганян</v>
      </c>
      <c r="C315" t="str">
        <f ca="1">IFERROR(__xludf.DUMMYFUNCTION("""COMPUTED_VALUE"""),"Александр")</f>
        <v>Александр</v>
      </c>
      <c r="D315" t="str">
        <f ca="1">IFERROR(__xludf.DUMMYFUNCTION("""COMPUTED_VALUE"""),"Гимназия 24 гимназия имени И.А.Крылова")</f>
        <v>Гимназия 24 гимназия имени И.А.Крылова</v>
      </c>
      <c r="E315" s="5"/>
      <c r="F315" s="5"/>
      <c r="G315" s="5">
        <f ca="1">IFERROR(__xludf.DUMMYFUNCTION("""COMPUTED_VALUE"""),2)</f>
        <v>2</v>
      </c>
      <c r="H315" s="5"/>
      <c r="I315" s="5">
        <f ca="1">IFERROR(__xludf.DUMMYFUNCTION("""COMPUTED_VALUE"""),2)</f>
        <v>2</v>
      </c>
      <c r="J315" s="5"/>
      <c r="K315" s="5"/>
      <c r="L315" s="5">
        <f ca="1">IFERROR(__xludf.DUMMYFUNCTION("""COMPUTED_VALUE"""),2)</f>
        <v>2</v>
      </c>
      <c r="M315">
        <f ca="1">IFERROR(__xludf.DUMMYFUNCTION("""COMPUTED_VALUE"""),6)</f>
        <v>6</v>
      </c>
      <c r="N315" s="8"/>
    </row>
    <row r="316" spans="1:14" ht="12.45" hidden="1">
      <c r="A316" t="str">
        <f ca="1">IFERROR(__xludf.DUMMYFUNCTION("""COMPUTED_VALUE"""),"V-4-339")</f>
        <v>V-4-339</v>
      </c>
      <c r="B316" t="str">
        <f ca="1">IFERROR(__xludf.DUMMYFUNCTION("""COMPUTED_VALUE"""),"Офенгейм")</f>
        <v>Офенгейм</v>
      </c>
      <c r="C316" t="str">
        <f ca="1">IFERROR(__xludf.DUMMYFUNCTION("""COMPUTED_VALUE"""),"Маргарита")</f>
        <v>Маргарита</v>
      </c>
      <c r="D316" t="str">
        <f ca="1">IFERROR(__xludf.DUMMYFUNCTION("""COMPUTED_VALUE"""),"Школа 639 с углубленным изучением английкого языка")</f>
        <v>Школа 639 с углубленным изучением английкого языка</v>
      </c>
      <c r="E316" s="5">
        <f ca="1">IFERROR(__xludf.DUMMYFUNCTION("""COMPUTED_VALUE"""),2)</f>
        <v>2</v>
      </c>
      <c r="F316" s="5">
        <f ca="1">IFERROR(__xludf.DUMMYFUNCTION("""COMPUTED_VALUE"""),3)</f>
        <v>3</v>
      </c>
      <c r="G316" s="5"/>
      <c r="H316" s="5"/>
      <c r="I316" s="5">
        <f ca="1">IFERROR(__xludf.DUMMYFUNCTION("""COMPUTED_VALUE"""),1)</f>
        <v>1</v>
      </c>
      <c r="J316" s="5"/>
      <c r="K316" s="5"/>
      <c r="L316" s="5"/>
      <c r="M316">
        <f ca="1">IFERROR(__xludf.DUMMYFUNCTION("""COMPUTED_VALUE"""),6)</f>
        <v>6</v>
      </c>
      <c r="N316" s="8"/>
    </row>
    <row r="317" spans="1:14" ht="12.45" hidden="1">
      <c r="A317" t="str">
        <f ca="1">IFERROR(__xludf.DUMMYFUNCTION("""COMPUTED_VALUE"""),"V-4-378")</f>
        <v>V-4-378</v>
      </c>
      <c r="B317" t="str">
        <f ca="1">IFERROR(__xludf.DUMMYFUNCTION("""COMPUTED_VALUE"""),"Пятницкий")</f>
        <v>Пятницкий</v>
      </c>
      <c r="C317" t="str">
        <f ca="1">IFERROR(__xludf.DUMMYFUNCTION("""COMPUTED_VALUE"""),"Максим")</f>
        <v>Максим</v>
      </c>
      <c r="D317" t="str">
        <f ca="1">IFERROR(__xludf.DUMMYFUNCTION("""COMPUTED_VALUE"""),"Лицей 64")</f>
        <v>Лицей 64</v>
      </c>
      <c r="E317" s="5">
        <f ca="1">IFERROR(__xludf.DUMMYFUNCTION("""COMPUTED_VALUE"""),2)</f>
        <v>2</v>
      </c>
      <c r="F317" s="5"/>
      <c r="G317" s="5">
        <f ca="1">IFERROR(__xludf.DUMMYFUNCTION("""COMPUTED_VALUE"""),2)</f>
        <v>2</v>
      </c>
      <c r="H317" s="5"/>
      <c r="I317" s="5">
        <f ca="1">IFERROR(__xludf.DUMMYFUNCTION("""COMPUTED_VALUE"""),2)</f>
        <v>2</v>
      </c>
      <c r="J317" s="5"/>
      <c r="K317" s="5"/>
      <c r="L317" s="5"/>
      <c r="M317">
        <f ca="1">IFERROR(__xludf.DUMMYFUNCTION("""COMPUTED_VALUE"""),6)</f>
        <v>6</v>
      </c>
      <c r="N317" s="8"/>
    </row>
    <row r="318" spans="1:14" ht="12.45" hidden="1">
      <c r="A318" t="str">
        <f ca="1">IFERROR(__xludf.DUMMYFUNCTION("""COMPUTED_VALUE"""),"V-4-444")</f>
        <v>V-4-444</v>
      </c>
      <c r="B318" t="str">
        <f ca="1">IFERROR(__xludf.DUMMYFUNCTION("""COMPUTED_VALUE"""),"Сторожилов")</f>
        <v>Сторожилов</v>
      </c>
      <c r="C318" t="str">
        <f ca="1">IFERROR(__xludf.DUMMYFUNCTION("""COMPUTED_VALUE"""),"Егор")</f>
        <v>Егор</v>
      </c>
      <c r="D318" t="str">
        <f ca="1">IFERROR(__xludf.DUMMYFUNCTION("""COMPUTED_VALUE"""),"Гимназия 406")</f>
        <v>Гимназия 406</v>
      </c>
      <c r="E318" s="5">
        <f ca="1">IFERROR(__xludf.DUMMYFUNCTION("""COMPUTED_VALUE"""),2)</f>
        <v>2</v>
      </c>
      <c r="F318" s="5">
        <f ca="1">IFERROR(__xludf.DUMMYFUNCTION("""COMPUTED_VALUE"""),3)</f>
        <v>3</v>
      </c>
      <c r="G318" s="5"/>
      <c r="H318" s="5"/>
      <c r="I318" s="5">
        <f ca="1">IFERROR(__xludf.DUMMYFUNCTION("""COMPUTED_VALUE"""),1)</f>
        <v>1</v>
      </c>
      <c r="J318" s="5"/>
      <c r="K318" s="5"/>
      <c r="L318" s="5"/>
      <c r="M318">
        <f ca="1">IFERROR(__xludf.DUMMYFUNCTION("""COMPUTED_VALUE"""),6)</f>
        <v>6</v>
      </c>
      <c r="N318" s="8"/>
    </row>
    <row r="319" spans="1:14" ht="12.45" hidden="1">
      <c r="A319" t="str">
        <f ca="1">IFERROR(__xludf.DUMMYFUNCTION("""COMPUTED_VALUE"""),"V-4-447")</f>
        <v>V-4-447</v>
      </c>
      <c r="B319" t="str">
        <f ca="1">IFERROR(__xludf.DUMMYFUNCTION("""COMPUTED_VALUE"""),"Страхова")</f>
        <v>Страхова</v>
      </c>
      <c r="C319" t="str">
        <f ca="1">IFERROR(__xludf.DUMMYFUNCTION("""COMPUTED_VALUE"""),"Марина")</f>
        <v>Марина</v>
      </c>
      <c r="D319" t="str">
        <f ca="1">IFERROR(__xludf.DUMMYFUNCTION("""COMPUTED_VALUE"""),"Гимназия 44")</f>
        <v>Гимназия 44</v>
      </c>
      <c r="E319" s="5"/>
      <c r="F319" s="5">
        <f ca="1">IFERROR(__xludf.DUMMYFUNCTION("""COMPUTED_VALUE"""),5)</f>
        <v>5</v>
      </c>
      <c r="G319" s="5">
        <f ca="1">IFERROR(__xludf.DUMMYFUNCTION("""COMPUTED_VALUE"""),2)</f>
        <v>2</v>
      </c>
      <c r="H319" s="5"/>
      <c r="I319" s="5">
        <f ca="1">IFERROR(__xludf.DUMMYFUNCTION("""COMPUTED_VALUE"""),3)</f>
        <v>3</v>
      </c>
      <c r="J319" s="5"/>
      <c r="K319" s="5"/>
      <c r="L319" s="5"/>
      <c r="M319">
        <f ca="1">IFERROR(__xludf.DUMMYFUNCTION("""COMPUTED_VALUE"""),10)</f>
        <v>10</v>
      </c>
      <c r="N319" s="8"/>
    </row>
    <row r="320" spans="1:14" ht="12.45" hidden="1">
      <c r="A320" t="str">
        <f ca="1">IFERROR(__xludf.DUMMYFUNCTION("""COMPUTED_VALUE"""),"V-4-483")</f>
        <v>V-4-483</v>
      </c>
      <c r="B320" t="str">
        <f ca="1">IFERROR(__xludf.DUMMYFUNCTION("""COMPUTED_VALUE"""),"Хямяляйнен")</f>
        <v>Хямяляйнен</v>
      </c>
      <c r="C320" t="str">
        <f ca="1">IFERROR(__xludf.DUMMYFUNCTION("""COMPUTED_VALUE"""),"Александр")</f>
        <v>Александр</v>
      </c>
      <c r="D320" t="str">
        <f ca="1">IFERROR(__xludf.DUMMYFUNCTION("""COMPUTED_VALUE"""),"Школа 489")</f>
        <v>Школа 489</v>
      </c>
      <c r="E320" s="5">
        <f ca="1">IFERROR(__xludf.DUMMYFUNCTION("""COMPUTED_VALUE"""),2)</f>
        <v>2</v>
      </c>
      <c r="F320" s="5"/>
      <c r="G320" s="5"/>
      <c r="H320" s="5"/>
      <c r="I320" s="5"/>
      <c r="J320" s="5">
        <f ca="1">IFERROR(__xludf.DUMMYFUNCTION("""COMPUTED_VALUE"""),4)</f>
        <v>4</v>
      </c>
      <c r="K320" s="5"/>
      <c r="L320" s="5"/>
      <c r="M320">
        <f ca="1">IFERROR(__xludf.DUMMYFUNCTION("""COMPUTED_VALUE"""),6)</f>
        <v>6</v>
      </c>
      <c r="N320" s="8"/>
    </row>
    <row r="321" spans="1:14" ht="12.45" hidden="1">
      <c r="A321" t="str">
        <f ca="1">IFERROR(__xludf.DUMMYFUNCTION("""COMPUTED_VALUE"""),"V-4-484")</f>
        <v>V-4-484</v>
      </c>
      <c r="B321" t="str">
        <f ca="1">IFERROR(__xludf.DUMMYFUNCTION("""COMPUTED_VALUE"""),"Целиков")</f>
        <v>Целиков</v>
      </c>
      <c r="C321" t="str">
        <f ca="1">IFERROR(__xludf.DUMMYFUNCTION("""COMPUTED_VALUE"""),"Андрей")</f>
        <v>Андрей</v>
      </c>
      <c r="D321" t="str">
        <f ca="1">IFERROR(__xludf.DUMMYFUNCTION("""COMPUTED_VALUE"""),"Школа 589")</f>
        <v>Школа 589</v>
      </c>
      <c r="E321" s="5">
        <f ca="1">IFERROR(__xludf.DUMMYFUNCTION("""COMPUTED_VALUE"""),2)</f>
        <v>2</v>
      </c>
      <c r="F321" s="5">
        <f ca="1">IFERROR(__xludf.DUMMYFUNCTION("""COMPUTED_VALUE"""),3)</f>
        <v>3</v>
      </c>
      <c r="G321" s="5">
        <f ca="1">IFERROR(__xludf.DUMMYFUNCTION("""COMPUTED_VALUE"""),1)</f>
        <v>1</v>
      </c>
      <c r="H321" s="5"/>
      <c r="I321" s="5"/>
      <c r="J321" s="5"/>
      <c r="K321" s="5"/>
      <c r="L321" s="5"/>
      <c r="M321">
        <f ca="1">IFERROR(__xludf.DUMMYFUNCTION("""COMPUTED_VALUE"""),6)</f>
        <v>6</v>
      </c>
      <c r="N321" s="8"/>
    </row>
    <row r="322" spans="1:14" ht="12.45" hidden="1">
      <c r="A322" t="str">
        <f ca="1">IFERROR(__xludf.DUMMYFUNCTION("""COMPUTED_VALUE"""),"III-4-220")</f>
        <v>III-4-220</v>
      </c>
      <c r="B322" t="str">
        <f ca="1">IFERROR(__xludf.DUMMYFUNCTION("""COMPUTED_VALUE"""),"Кириенко")</f>
        <v>Кириенко</v>
      </c>
      <c r="C322" t="str">
        <f ca="1">IFERROR(__xludf.DUMMYFUNCTION("""COMPUTED_VALUE"""),"Михаил")</f>
        <v>Михаил</v>
      </c>
      <c r="D322" t="str">
        <f ca="1">IFERROR(__xludf.DUMMYFUNCTION("""COMPUTED_VALUE"""),"Лицей 64")</f>
        <v>Лицей 64</v>
      </c>
      <c r="E322" s="5">
        <f ca="1">IFERROR(__xludf.DUMMYFUNCTION("""COMPUTED_VALUE"""),2)</f>
        <v>2</v>
      </c>
      <c r="F322" s="5">
        <f ca="1">IFERROR(__xludf.DUMMYFUNCTION("""COMPUTED_VALUE"""),3)</f>
        <v>3</v>
      </c>
      <c r="G322" s="5"/>
      <c r="H322" s="5"/>
      <c r="I322" s="5"/>
      <c r="J322" s="5"/>
      <c r="K322" s="5"/>
      <c r="L322" s="5"/>
      <c r="M322">
        <f ca="1">IFERROR(__xludf.DUMMYFUNCTION("""COMPUTED_VALUE"""),5)</f>
        <v>5</v>
      </c>
      <c r="N322" s="8"/>
    </row>
    <row r="323" spans="1:14" ht="12.45" hidden="1">
      <c r="A323" t="str">
        <f ca="1">IFERROR(__xludf.DUMMYFUNCTION("""COMPUTED_VALUE"""),"V-4-304")</f>
        <v>V-4-304</v>
      </c>
      <c r="B323" t="str">
        <f ca="1">IFERROR(__xludf.DUMMYFUNCTION("""COMPUTED_VALUE"""),"Морозюк")</f>
        <v>Морозюк</v>
      </c>
      <c r="C323" t="str">
        <f ca="1">IFERROR(__xludf.DUMMYFUNCTION("""COMPUTED_VALUE"""),"Даниил")</f>
        <v>Даниил</v>
      </c>
      <c r="D323" t="str">
        <f ca="1">IFERROR(__xludf.DUMMYFUNCTION("""COMPUTED_VALUE"""),"Гимназия 11")</f>
        <v>Гимназия 11</v>
      </c>
      <c r="E323" s="5">
        <f ca="1">IFERROR(__xludf.DUMMYFUNCTION("""COMPUTED_VALUE"""),2)</f>
        <v>2</v>
      </c>
      <c r="F323" s="5">
        <f ca="1">IFERROR(__xludf.DUMMYFUNCTION("""COMPUTED_VALUE"""),3)</f>
        <v>3</v>
      </c>
      <c r="G323" s="5"/>
      <c r="H323" s="5"/>
      <c r="I323" s="5"/>
      <c r="J323" s="5"/>
      <c r="K323" s="5"/>
      <c r="L323" s="5"/>
      <c r="M323">
        <f ca="1">IFERROR(__xludf.DUMMYFUNCTION("""COMPUTED_VALUE"""),5)</f>
        <v>5</v>
      </c>
      <c r="N323" s="8"/>
    </row>
    <row r="324" spans="1:14" ht="12.45" hidden="1">
      <c r="A324" t="str">
        <f ca="1">IFERROR(__xludf.DUMMYFUNCTION("""COMPUTED_VALUE"""),"V-4-330")</f>
        <v>V-4-330</v>
      </c>
      <c r="B324" t="str">
        <f ca="1">IFERROR(__xludf.DUMMYFUNCTION("""COMPUTED_VALUE"""),"Носань")</f>
        <v>Носань</v>
      </c>
      <c r="C324" t="str">
        <f ca="1">IFERROR(__xludf.DUMMYFUNCTION("""COMPUTED_VALUE"""),"Никита")</f>
        <v>Никита</v>
      </c>
      <c r="D324" t="str">
        <f ca="1">IFERROR(__xludf.DUMMYFUNCTION("""COMPUTED_VALUE"""),"Школа 348")</f>
        <v>Школа 348</v>
      </c>
      <c r="E324" s="5">
        <f ca="1">IFERROR(__xludf.DUMMYFUNCTION("""COMPUTED_VALUE"""),2)</f>
        <v>2</v>
      </c>
      <c r="F324" s="5">
        <f ca="1">IFERROR(__xludf.DUMMYFUNCTION("""COMPUTED_VALUE"""),3)</f>
        <v>3</v>
      </c>
      <c r="G324" s="5"/>
      <c r="H324" s="5"/>
      <c r="I324" s="5"/>
      <c r="J324" s="5"/>
      <c r="K324" s="5"/>
      <c r="L324" s="5"/>
      <c r="M324">
        <f ca="1">IFERROR(__xludf.DUMMYFUNCTION("""COMPUTED_VALUE"""),5)</f>
        <v>5</v>
      </c>
      <c r="N324" s="8"/>
    </row>
    <row r="325" spans="1:14" ht="12.45" hidden="1">
      <c r="A325" t="str">
        <f ca="1">IFERROR(__xludf.DUMMYFUNCTION("""COMPUTED_VALUE"""),"V-4-332")</f>
        <v>V-4-332</v>
      </c>
      <c r="B325" t="str">
        <f ca="1">IFERROR(__xludf.DUMMYFUNCTION("""COMPUTED_VALUE"""),"Окуньков")</f>
        <v>Окуньков</v>
      </c>
      <c r="C325" t="str">
        <f ca="1">IFERROR(__xludf.DUMMYFUNCTION("""COMPUTED_VALUE"""),"Егор")</f>
        <v>Егор</v>
      </c>
      <c r="D325" t="str">
        <f ca="1">IFERROR(__xludf.DUMMYFUNCTION("""COMPUTED_VALUE"""),"Школа 292")</f>
        <v>Школа 292</v>
      </c>
      <c r="E325" s="5">
        <f ca="1">IFERROR(__xludf.DUMMYFUNCTION("""COMPUTED_VALUE"""),2)</f>
        <v>2</v>
      </c>
      <c r="F325" s="5">
        <f ca="1">IFERROR(__xludf.DUMMYFUNCTION("""COMPUTED_VALUE"""),3)</f>
        <v>3</v>
      </c>
      <c r="G325" s="5"/>
      <c r="H325" s="5"/>
      <c r="I325" s="5"/>
      <c r="J325" s="5"/>
      <c r="K325" s="5"/>
      <c r="L325" s="5"/>
      <c r="M325">
        <f ca="1">IFERROR(__xludf.DUMMYFUNCTION("""COMPUTED_VALUE"""),5)</f>
        <v>5</v>
      </c>
      <c r="N325" s="8"/>
    </row>
    <row r="326" spans="1:14" ht="12.45" hidden="1">
      <c r="A326" t="str">
        <f ca="1">IFERROR(__xludf.DUMMYFUNCTION("""COMPUTED_VALUE"""),"V-4-404")</f>
        <v>V-4-404</v>
      </c>
      <c r="B326" t="str">
        <f ca="1">IFERROR(__xludf.DUMMYFUNCTION("""COMPUTED_VALUE"""),"Сабуров")</f>
        <v>Сабуров</v>
      </c>
      <c r="C326" t="str">
        <f ca="1">IFERROR(__xludf.DUMMYFUNCTION("""COMPUTED_VALUE"""),"Баходур")</f>
        <v>Баходур</v>
      </c>
      <c r="D326" t="str">
        <f ca="1">IFERROR(__xludf.DUMMYFUNCTION("""COMPUTED_VALUE"""),"Школа 508")</f>
        <v>Школа 508</v>
      </c>
      <c r="E326" s="5"/>
      <c r="F326" s="5">
        <f ca="1">IFERROR(__xludf.DUMMYFUNCTION("""COMPUTED_VALUE"""),3)</f>
        <v>3</v>
      </c>
      <c r="G326" s="5"/>
      <c r="H326" s="5"/>
      <c r="I326" s="5">
        <f ca="1">IFERROR(__xludf.DUMMYFUNCTION("""COMPUTED_VALUE"""),2)</f>
        <v>2</v>
      </c>
      <c r="J326" s="5"/>
      <c r="K326" s="5"/>
      <c r="L326" s="5"/>
      <c r="M326">
        <f ca="1">IFERROR(__xludf.DUMMYFUNCTION("""COMPUTED_VALUE"""),5)</f>
        <v>5</v>
      </c>
      <c r="N326" s="8"/>
    </row>
    <row r="327" spans="1:14" ht="12.45">
      <c r="A327" t="str">
        <f ca="1">IFERROR(__xludf.DUMMYFUNCTION("""COMPUTED_VALUE"""),"V-4-485")</f>
        <v>V-4-485</v>
      </c>
      <c r="B327" t="str">
        <f ca="1">IFERROR(__xludf.DUMMYFUNCTION("""COMPUTED_VALUE"""),"Цыренов")</f>
        <v>Цыренов</v>
      </c>
      <c r="C327" t="str">
        <f ca="1">IFERROR(__xludf.DUMMYFUNCTION("""COMPUTED_VALUE"""),"Ардан")</f>
        <v>Ардан</v>
      </c>
      <c r="D327" t="str">
        <f ca="1">IFERROR(__xludf.DUMMYFUNCTION("""COMPUTED_VALUE"""),"Гимназия 3 (г. Улан-Удэ)")</f>
        <v>Гимназия 3 (г. Улан-Удэ)</v>
      </c>
      <c r="E327" s="5">
        <f ca="1">IFERROR(__xludf.DUMMYFUNCTION("""COMPUTED_VALUE"""),2)</f>
        <v>2</v>
      </c>
      <c r="F327" s="5">
        <f ca="1">IFERROR(__xludf.DUMMYFUNCTION("""COMPUTED_VALUE"""),3)</f>
        <v>3</v>
      </c>
      <c r="G327" s="5"/>
      <c r="H327" s="5"/>
      <c r="I327" s="5"/>
      <c r="J327" s="5"/>
      <c r="K327" s="5"/>
      <c r="L327" s="5"/>
      <c r="M327">
        <f ca="1">IFERROR(__xludf.DUMMYFUNCTION("""COMPUTED_VALUE"""),5)</f>
        <v>5</v>
      </c>
      <c r="N327" s="8"/>
    </row>
    <row r="328" spans="1:14" ht="12.45" hidden="1">
      <c r="A328" t="str">
        <f ca="1">IFERROR(__xludf.DUMMYFUNCTION("""COMPUTED_VALUE"""),"V-4-506")</f>
        <v>V-4-506</v>
      </c>
      <c r="B328" t="str">
        <f ca="1">IFERROR(__xludf.DUMMYFUNCTION("""COMPUTED_VALUE"""),"Шидловский")</f>
        <v>Шидловский</v>
      </c>
      <c r="C328" t="str">
        <f ca="1">IFERROR(__xludf.DUMMYFUNCTION("""COMPUTED_VALUE"""),"Степан")</f>
        <v>Степан</v>
      </c>
      <c r="D328" t="str">
        <f ca="1">IFERROR(__xludf.DUMMYFUNCTION("""COMPUTED_VALUE"""),"Школа 213")</f>
        <v>Школа 213</v>
      </c>
      <c r="E328" s="5"/>
      <c r="F328" s="5">
        <f ca="1">IFERROR(__xludf.DUMMYFUNCTION("""COMPUTED_VALUE"""),3)</f>
        <v>3</v>
      </c>
      <c r="G328" s="5"/>
      <c r="H328" s="5"/>
      <c r="I328" s="5">
        <f ca="1">IFERROR(__xludf.DUMMYFUNCTION("""COMPUTED_VALUE"""),2)</f>
        <v>2</v>
      </c>
      <c r="J328" s="5"/>
      <c r="K328" s="5"/>
      <c r="L328" s="5"/>
      <c r="M328">
        <f ca="1">IFERROR(__xludf.DUMMYFUNCTION("""COMPUTED_VALUE"""),5)</f>
        <v>5</v>
      </c>
      <c r="N328" s="8"/>
    </row>
    <row r="329" spans="1:14" ht="12.45" hidden="1">
      <c r="A329" t="str">
        <f ca="1">IFERROR(__xludf.DUMMYFUNCTION("""COMPUTED_VALUE"""),"III-4-063")</f>
        <v>III-4-063</v>
      </c>
      <c r="B329" t="str">
        <f ca="1">IFERROR(__xludf.DUMMYFUNCTION("""COMPUTED_VALUE"""),"Бородулин")</f>
        <v>Бородулин</v>
      </c>
      <c r="C329" t="str">
        <f ca="1">IFERROR(__xludf.DUMMYFUNCTION("""COMPUTED_VALUE"""),"Владислав")</f>
        <v>Владислав</v>
      </c>
      <c r="D329" t="str">
        <f ca="1">IFERROR(__xludf.DUMMYFUNCTION("""COMPUTED_VALUE"""),"Школа 456")</f>
        <v>Школа 456</v>
      </c>
      <c r="E329" s="5">
        <f ca="1">IFERROR(__xludf.DUMMYFUNCTION("""COMPUTED_VALUE"""),2)</f>
        <v>2</v>
      </c>
      <c r="F329" s="5"/>
      <c r="G329" s="5"/>
      <c r="H329" s="5"/>
      <c r="I329" s="5">
        <f ca="1">IFERROR(__xludf.DUMMYFUNCTION("""COMPUTED_VALUE"""),2)</f>
        <v>2</v>
      </c>
      <c r="J329" s="5"/>
      <c r="K329" s="5"/>
      <c r="L329" s="5"/>
      <c r="M329">
        <f ca="1">IFERROR(__xludf.DUMMYFUNCTION("""COMPUTED_VALUE"""),4)</f>
        <v>4</v>
      </c>
      <c r="N329" s="8"/>
    </row>
    <row r="330" spans="1:14" ht="12.45" hidden="1">
      <c r="A330" t="str">
        <f ca="1">IFERROR(__xludf.DUMMYFUNCTION("""COMPUTED_VALUE"""),"III-4-236")</f>
        <v>III-4-236</v>
      </c>
      <c r="B330" t="str">
        <f ca="1">IFERROR(__xludf.DUMMYFUNCTION("""COMPUTED_VALUE"""),"Королев")</f>
        <v>Королев</v>
      </c>
      <c r="C330" t="str">
        <f ca="1">IFERROR(__xludf.DUMMYFUNCTION("""COMPUTED_VALUE"""),"Антон")</f>
        <v>Антон</v>
      </c>
      <c r="D330" t="str">
        <f ca="1">IFERROR(__xludf.DUMMYFUNCTION("""COMPUTED_VALUE"""),"Лицей 273")</f>
        <v>Лицей 273</v>
      </c>
      <c r="E330" s="5">
        <f ca="1">IFERROR(__xludf.DUMMYFUNCTION("""COMPUTED_VALUE"""),2)</f>
        <v>2</v>
      </c>
      <c r="F330" s="5">
        <f ca="1">IFERROR(__xludf.DUMMYFUNCTION("""COMPUTED_VALUE"""),2)</f>
        <v>2</v>
      </c>
      <c r="G330" s="5"/>
      <c r="H330" s="5"/>
      <c r="I330" s="5"/>
      <c r="J330" s="5"/>
      <c r="K330" s="5"/>
      <c r="L330" s="5"/>
      <c r="M330">
        <f ca="1">IFERROR(__xludf.DUMMYFUNCTION("""COMPUTED_VALUE"""),4)</f>
        <v>4</v>
      </c>
      <c r="N330" s="8"/>
    </row>
    <row r="331" spans="1:14" ht="12.45" hidden="1">
      <c r="A331" t="str">
        <f ca="1">IFERROR(__xludf.DUMMYFUNCTION("""COMPUTED_VALUE"""),"III-4-257")</f>
        <v>III-4-257</v>
      </c>
      <c r="B331" t="str">
        <f ca="1">IFERROR(__xludf.DUMMYFUNCTION("""COMPUTED_VALUE"""),"Кустовлянкина")</f>
        <v>Кустовлянкина</v>
      </c>
      <c r="C331" t="str">
        <f ca="1">IFERROR(__xludf.DUMMYFUNCTION("""COMPUTED_VALUE"""),"Яна")</f>
        <v>Яна</v>
      </c>
      <c r="D331" t="str">
        <f ca="1">IFERROR(__xludf.DUMMYFUNCTION("""COMPUTED_VALUE"""),"Лицей 470")</f>
        <v>Лицей 470</v>
      </c>
      <c r="E331" s="5">
        <f ca="1">IFERROR(__xludf.DUMMYFUNCTION("""COMPUTED_VALUE"""),2)</f>
        <v>2</v>
      </c>
      <c r="F331" s="5"/>
      <c r="G331" s="5">
        <f ca="1">IFERROR(__xludf.DUMMYFUNCTION("""COMPUTED_VALUE"""),2)</f>
        <v>2</v>
      </c>
      <c r="H331" s="5"/>
      <c r="I331" s="5"/>
      <c r="J331" s="5"/>
      <c r="K331" s="5"/>
      <c r="L331" s="5"/>
      <c r="M331">
        <f ca="1">IFERROR(__xludf.DUMMYFUNCTION("""COMPUTED_VALUE"""),4)</f>
        <v>4</v>
      </c>
      <c r="N331" s="8"/>
    </row>
    <row r="332" spans="1:14" ht="12.45" hidden="1">
      <c r="A332" t="str">
        <f ca="1">IFERROR(__xludf.DUMMYFUNCTION("""COMPUTED_VALUE"""),"V-4-426")</f>
        <v>V-4-426</v>
      </c>
      <c r="B332" t="str">
        <f ca="1">IFERROR(__xludf.DUMMYFUNCTION("""COMPUTED_VALUE"""),"Смелов")</f>
        <v>Смелов</v>
      </c>
      <c r="C332" t="str">
        <f ca="1">IFERROR(__xludf.DUMMYFUNCTION("""COMPUTED_VALUE"""),"Иван")</f>
        <v>Иван</v>
      </c>
      <c r="D332" t="str">
        <f ca="1">IFERROR(__xludf.DUMMYFUNCTION("""COMPUTED_VALUE"""),"Школа 481")</f>
        <v>Школа 481</v>
      </c>
      <c r="E332" s="5">
        <f ca="1">IFERROR(__xludf.DUMMYFUNCTION("""COMPUTED_VALUE"""),2)</f>
        <v>2</v>
      </c>
      <c r="F332" s="5"/>
      <c r="G332" s="5"/>
      <c r="H332" s="5"/>
      <c r="I332" s="5">
        <f ca="1">IFERROR(__xludf.DUMMYFUNCTION("""COMPUTED_VALUE"""),2)</f>
        <v>2</v>
      </c>
      <c r="J332" s="5"/>
      <c r="K332" s="5"/>
      <c r="L332" s="5"/>
      <c r="M332">
        <f ca="1">IFERROR(__xludf.DUMMYFUNCTION("""COMPUTED_VALUE"""),4)</f>
        <v>4</v>
      </c>
      <c r="N332" s="8"/>
    </row>
    <row r="333" spans="1:14" ht="12.45" hidden="1">
      <c r="A333" t="str">
        <f ca="1">IFERROR(__xludf.DUMMYFUNCTION("""COMPUTED_VALUE"""),"III-4-023")</f>
        <v>III-4-023</v>
      </c>
      <c r="B333" t="str">
        <f ca="1">IFERROR(__xludf.DUMMYFUNCTION("""COMPUTED_VALUE"""),"Бабушкин")</f>
        <v>Бабушкин</v>
      </c>
      <c r="C333" t="str">
        <f ca="1">IFERROR(__xludf.DUMMYFUNCTION("""COMPUTED_VALUE"""),"Виталий")</f>
        <v>Виталий</v>
      </c>
      <c r="D333" t="str">
        <f ca="1">IFERROR(__xludf.DUMMYFUNCTION("""COMPUTED_VALUE"""),"Школа 303")</f>
        <v>Школа 303</v>
      </c>
      <c r="E333" s="5">
        <f ca="1">IFERROR(__xludf.DUMMYFUNCTION("""COMPUTED_VALUE"""),2)</f>
        <v>2</v>
      </c>
      <c r="F333" s="5">
        <f ca="1">IFERROR(__xludf.DUMMYFUNCTION("""COMPUTED_VALUE"""),0)</f>
        <v>0</v>
      </c>
      <c r="G333" s="5">
        <f ca="1">IFERROR(__xludf.DUMMYFUNCTION("""COMPUTED_VALUE"""),0)</f>
        <v>0</v>
      </c>
      <c r="H333" s="5">
        <f ca="1">IFERROR(__xludf.DUMMYFUNCTION("""COMPUTED_VALUE"""),0)</f>
        <v>0</v>
      </c>
      <c r="I333" s="5">
        <f ca="1">IFERROR(__xludf.DUMMYFUNCTION("""COMPUTED_VALUE"""),1)</f>
        <v>1</v>
      </c>
      <c r="J333" s="5"/>
      <c r="K333" s="5"/>
      <c r="L333" s="5"/>
      <c r="M333">
        <f ca="1">IFERROR(__xludf.DUMMYFUNCTION("""COMPUTED_VALUE"""),3)</f>
        <v>3</v>
      </c>
      <c r="N333" s="8"/>
    </row>
    <row r="334" spans="1:14" ht="12.45" hidden="1">
      <c r="A334" t="str">
        <f ca="1">IFERROR(__xludf.DUMMYFUNCTION("""COMPUTED_VALUE"""),"V-4-280")</f>
        <v>V-4-280</v>
      </c>
      <c r="B334" t="str">
        <f ca="1">IFERROR(__xludf.DUMMYFUNCTION("""COMPUTED_VALUE"""),"Максимова")</f>
        <v>Максимова</v>
      </c>
      <c r="C334" t="str">
        <f ca="1">IFERROR(__xludf.DUMMYFUNCTION("""COMPUTED_VALUE"""),"Елизавета")</f>
        <v>Елизавета</v>
      </c>
      <c r="D334" t="str">
        <f ca="1">IFERROR(__xludf.DUMMYFUNCTION("""COMPUTED_VALUE"""),"Школа 643")</f>
        <v>Школа 643</v>
      </c>
      <c r="E334" s="5"/>
      <c r="F334" s="5">
        <f ca="1">IFERROR(__xludf.DUMMYFUNCTION("""COMPUTED_VALUE"""),3)</f>
        <v>3</v>
      </c>
      <c r="G334" s="5"/>
      <c r="H334" s="5"/>
      <c r="I334" s="5"/>
      <c r="J334" s="5"/>
      <c r="K334" s="5"/>
      <c r="L334" s="5"/>
      <c r="M334">
        <f ca="1">IFERROR(__xludf.DUMMYFUNCTION("""COMPUTED_VALUE"""),3)</f>
        <v>3</v>
      </c>
      <c r="N334" s="8"/>
    </row>
    <row r="335" spans="1:14" ht="12.45" hidden="1">
      <c r="A335" t="str">
        <f ca="1">IFERROR(__xludf.DUMMYFUNCTION("""COMPUTED_VALUE"""),"V-4-308")</f>
        <v>V-4-308</v>
      </c>
      <c r="B335" t="str">
        <f ca="1">IFERROR(__xludf.DUMMYFUNCTION("""COMPUTED_VALUE"""),"Мошкин")</f>
        <v>Мошкин</v>
      </c>
      <c r="C335" t="str">
        <f ca="1">IFERROR(__xludf.DUMMYFUNCTION("""COMPUTED_VALUE"""),"Павел")</f>
        <v>Павел</v>
      </c>
      <c r="D335" t="str">
        <f ca="1">IFERROR(__xludf.DUMMYFUNCTION("""COMPUTED_VALUE"""),"Школа 636")</f>
        <v>Школа 636</v>
      </c>
      <c r="E335" s="5"/>
      <c r="F335" s="5">
        <f ca="1">IFERROR(__xludf.DUMMYFUNCTION("""COMPUTED_VALUE"""),3)</f>
        <v>3</v>
      </c>
      <c r="G335" s="5"/>
      <c r="H335" s="5"/>
      <c r="I335" s="5"/>
      <c r="J335" s="5"/>
      <c r="K335" s="5"/>
      <c r="L335" s="5"/>
      <c r="M335">
        <f ca="1">IFERROR(__xludf.DUMMYFUNCTION("""COMPUTED_VALUE"""),3)</f>
        <v>3</v>
      </c>
      <c r="N335" s="8"/>
    </row>
    <row r="336" spans="1:14" ht="12.45" hidden="1">
      <c r="A336" t="str">
        <f ca="1">IFERROR(__xludf.DUMMYFUNCTION("""COMPUTED_VALUE"""),"V-4-327")</f>
        <v>V-4-327</v>
      </c>
      <c r="B336" t="str">
        <f ca="1">IFERROR(__xludf.DUMMYFUNCTION("""COMPUTED_VALUE"""),"Новиков")</f>
        <v>Новиков</v>
      </c>
      <c r="C336" t="str">
        <f ca="1">IFERROR(__xludf.DUMMYFUNCTION("""COMPUTED_VALUE"""),"Иван")</f>
        <v>Иван</v>
      </c>
      <c r="D336" t="str">
        <f ca="1">IFERROR(__xludf.DUMMYFUNCTION("""COMPUTED_VALUE"""),"Лицей 470")</f>
        <v>Лицей 470</v>
      </c>
      <c r="E336" s="5"/>
      <c r="F336" s="5">
        <f ca="1">IFERROR(__xludf.DUMMYFUNCTION("""COMPUTED_VALUE"""),3)</f>
        <v>3</v>
      </c>
      <c r="G336" s="5"/>
      <c r="H336" s="5"/>
      <c r="I336" s="5"/>
      <c r="J336" s="5"/>
      <c r="K336" s="5"/>
      <c r="L336" s="5"/>
      <c r="M336">
        <f ca="1">IFERROR(__xludf.DUMMYFUNCTION("""COMPUTED_VALUE"""),3)</f>
        <v>3</v>
      </c>
      <c r="N336" s="8"/>
    </row>
    <row r="337" spans="1:14" ht="12.45" hidden="1">
      <c r="A337" t="str">
        <f ca="1">IFERROR(__xludf.DUMMYFUNCTION("""COMPUTED_VALUE"""),"V-4-343")</f>
        <v>V-4-343</v>
      </c>
      <c r="B337" t="str">
        <f ca="1">IFERROR(__xludf.DUMMYFUNCTION("""COMPUTED_VALUE"""),"Петров")</f>
        <v>Петров</v>
      </c>
      <c r="C337" t="str">
        <f ca="1">IFERROR(__xludf.DUMMYFUNCTION("""COMPUTED_VALUE"""),"Матвей")</f>
        <v>Матвей</v>
      </c>
      <c r="D337" t="str">
        <f ca="1">IFERROR(__xludf.DUMMYFUNCTION("""COMPUTED_VALUE"""),"Гимназия 399")</f>
        <v>Гимназия 399</v>
      </c>
      <c r="E337" s="5"/>
      <c r="F337" s="5">
        <f ca="1">IFERROR(__xludf.DUMMYFUNCTION("""COMPUTED_VALUE"""),3)</f>
        <v>3</v>
      </c>
      <c r="G337" s="5"/>
      <c r="H337" s="5"/>
      <c r="I337" s="5"/>
      <c r="J337" s="5"/>
      <c r="K337" s="5"/>
      <c r="L337" s="5"/>
      <c r="M337">
        <f ca="1">IFERROR(__xludf.DUMMYFUNCTION("""COMPUTED_VALUE"""),3)</f>
        <v>3</v>
      </c>
      <c r="N337" s="8"/>
    </row>
    <row r="338" spans="1:14" ht="12.45" hidden="1">
      <c r="A338" t="str">
        <f ca="1">IFERROR(__xludf.DUMMYFUNCTION("""COMPUTED_VALUE"""),"V-4-353")</f>
        <v>V-4-353</v>
      </c>
      <c r="B338" t="str">
        <f ca="1">IFERROR(__xludf.DUMMYFUNCTION("""COMPUTED_VALUE"""),"Платонова")</f>
        <v>Платонова</v>
      </c>
      <c r="C338" t="str">
        <f ca="1">IFERROR(__xludf.DUMMYFUNCTION("""COMPUTED_VALUE"""),"Марина")</f>
        <v>Марина</v>
      </c>
      <c r="D338" t="str">
        <f ca="1">IFERROR(__xludf.DUMMYFUNCTION("""COMPUTED_VALUE"""),"Школа 106")</f>
        <v>Школа 106</v>
      </c>
      <c r="E338" s="5"/>
      <c r="F338" s="5">
        <f ca="1">IFERROR(__xludf.DUMMYFUNCTION("""COMPUTED_VALUE"""),3)</f>
        <v>3</v>
      </c>
      <c r="G338" s="5"/>
      <c r="H338" s="5"/>
      <c r="I338" s="5"/>
      <c r="J338" s="5"/>
      <c r="K338" s="5"/>
      <c r="L338" s="5"/>
      <c r="M338">
        <f ca="1">IFERROR(__xludf.DUMMYFUNCTION("""COMPUTED_VALUE"""),3)</f>
        <v>3</v>
      </c>
      <c r="N338" s="8"/>
    </row>
    <row r="339" spans="1:14" ht="12.45" hidden="1">
      <c r="A339" t="str">
        <f ca="1">IFERROR(__xludf.DUMMYFUNCTION("""COMPUTED_VALUE"""),"V-4-379")</f>
        <v>V-4-379</v>
      </c>
      <c r="B339" t="str">
        <f ca="1">IFERROR(__xludf.DUMMYFUNCTION("""COMPUTED_VALUE"""),"Радина")</f>
        <v>Радина</v>
      </c>
      <c r="C339" t="str">
        <f ca="1">IFERROR(__xludf.DUMMYFUNCTION("""COMPUTED_VALUE"""),"Полина")</f>
        <v>Полина</v>
      </c>
      <c r="D339" t="str">
        <f ca="1">IFERROR(__xludf.DUMMYFUNCTION("""COMPUTED_VALUE"""),"Гимназия 524")</f>
        <v>Гимназия 524</v>
      </c>
      <c r="E339" s="5">
        <f ca="1">IFERROR(__xludf.DUMMYFUNCTION("""COMPUTED_VALUE"""),2)</f>
        <v>2</v>
      </c>
      <c r="F339" s="5"/>
      <c r="G339" s="5"/>
      <c r="H339" s="5"/>
      <c r="I339" s="5">
        <f ca="1">IFERROR(__xludf.DUMMYFUNCTION("""COMPUTED_VALUE"""),1)</f>
        <v>1</v>
      </c>
      <c r="J339" s="5"/>
      <c r="K339" s="5"/>
      <c r="L339" s="5"/>
      <c r="M339">
        <f ca="1">IFERROR(__xludf.DUMMYFUNCTION("""COMPUTED_VALUE"""),3)</f>
        <v>3</v>
      </c>
      <c r="N339" s="8"/>
    </row>
    <row r="340" spans="1:14" ht="12.45" hidden="1">
      <c r="A340" t="str">
        <f ca="1">IFERROR(__xludf.DUMMYFUNCTION("""COMPUTED_VALUE"""),"V-4-389")</f>
        <v>V-4-389</v>
      </c>
      <c r="B340" t="str">
        <f ca="1">IFERROR(__xludf.DUMMYFUNCTION("""COMPUTED_VALUE"""),"Родичева")</f>
        <v>Родичева</v>
      </c>
      <c r="C340" t="str">
        <f ca="1">IFERROR(__xludf.DUMMYFUNCTION("""COMPUTED_VALUE"""),"Александра")</f>
        <v>Александра</v>
      </c>
      <c r="D340" t="str">
        <f ca="1">IFERROR(__xludf.DUMMYFUNCTION("""COMPUTED_VALUE"""),"Школа 246")</f>
        <v>Школа 246</v>
      </c>
      <c r="E340" s="5"/>
      <c r="F340" s="5">
        <f ca="1">IFERROR(__xludf.DUMMYFUNCTION("""COMPUTED_VALUE"""),3)</f>
        <v>3</v>
      </c>
      <c r="G340" s="5"/>
      <c r="H340" s="5"/>
      <c r="I340" s="5"/>
      <c r="J340" s="5"/>
      <c r="K340" s="5"/>
      <c r="L340" s="5"/>
      <c r="M340">
        <f ca="1">IFERROR(__xludf.DUMMYFUNCTION("""COMPUTED_VALUE"""),3)</f>
        <v>3</v>
      </c>
      <c r="N340" s="8"/>
    </row>
    <row r="341" spans="1:14" ht="12.45" hidden="1">
      <c r="A341" t="str">
        <f ca="1">IFERROR(__xludf.DUMMYFUNCTION("""COMPUTED_VALUE"""),"V-4-413")</f>
        <v>V-4-413</v>
      </c>
      <c r="B341" t="str">
        <f ca="1">IFERROR(__xludf.DUMMYFUNCTION("""COMPUTED_VALUE"""),"Сараханова")</f>
        <v>Сараханова</v>
      </c>
      <c r="C341" t="str">
        <f ca="1">IFERROR(__xludf.DUMMYFUNCTION("""COMPUTED_VALUE"""),"Виктория")</f>
        <v>Виктория</v>
      </c>
      <c r="D341" t="str">
        <f ca="1">IFERROR(__xludf.DUMMYFUNCTION("""COMPUTED_VALUE"""),"Школа ЧОУ НОО Умный Мир")</f>
        <v>Школа ЧОУ НОО Умный Мир</v>
      </c>
      <c r="E341" s="5"/>
      <c r="F341" s="5">
        <f ca="1">IFERROR(__xludf.DUMMYFUNCTION("""COMPUTED_VALUE"""),3)</f>
        <v>3</v>
      </c>
      <c r="G341" s="5"/>
      <c r="H341" s="5"/>
      <c r="I341" s="5"/>
      <c r="J341" s="5"/>
      <c r="K341" s="5"/>
      <c r="L341" s="5"/>
      <c r="M341">
        <f ca="1">IFERROR(__xludf.DUMMYFUNCTION("""COMPUTED_VALUE"""),3)</f>
        <v>3</v>
      </c>
      <c r="N341" s="8"/>
    </row>
    <row r="342" spans="1:14" ht="12.45" hidden="1">
      <c r="A342" t="str">
        <f ca="1">IFERROR(__xludf.DUMMYFUNCTION("""COMPUTED_VALUE"""),"V-4-446")</f>
        <v>V-4-446</v>
      </c>
      <c r="B342" t="str">
        <f ca="1">IFERROR(__xludf.DUMMYFUNCTION("""COMPUTED_VALUE"""),"Страдин")</f>
        <v>Страдин</v>
      </c>
      <c r="C342" t="str">
        <f ca="1">IFERROR(__xludf.DUMMYFUNCTION("""COMPUTED_VALUE"""),"Артемий")</f>
        <v>Артемий</v>
      </c>
      <c r="D342" t="str">
        <f ca="1">IFERROR(__xludf.DUMMYFUNCTION("""COMPUTED_VALUE"""),"Лицей 597")</f>
        <v>Лицей 597</v>
      </c>
      <c r="E342" s="5"/>
      <c r="F342" s="5">
        <f ca="1">IFERROR(__xludf.DUMMYFUNCTION("""COMPUTED_VALUE"""),3)</f>
        <v>3</v>
      </c>
      <c r="G342" s="5"/>
      <c r="H342" s="5"/>
      <c r="I342" s="5"/>
      <c r="J342" s="5"/>
      <c r="K342" s="5"/>
      <c r="L342" s="5"/>
      <c r="M342">
        <f ca="1">IFERROR(__xludf.DUMMYFUNCTION("""COMPUTED_VALUE"""),3)</f>
        <v>3</v>
      </c>
      <c r="N342" s="8"/>
    </row>
    <row r="343" spans="1:14" ht="12.45" hidden="1">
      <c r="A343" t="str">
        <f ca="1">IFERROR(__xludf.DUMMYFUNCTION("""COMPUTED_VALUE"""),"V-4-472")</f>
        <v>V-4-472</v>
      </c>
      <c r="B343" t="str">
        <f ca="1">IFERROR(__xludf.DUMMYFUNCTION("""COMPUTED_VALUE"""),"Федосеев")</f>
        <v>Федосеев</v>
      </c>
      <c r="C343" t="str">
        <f ca="1">IFERROR(__xludf.DUMMYFUNCTION("""COMPUTED_VALUE"""),"Матвей")</f>
        <v>Матвей</v>
      </c>
      <c r="D343" t="str">
        <f ca="1">IFERROR(__xludf.DUMMYFUNCTION("""COMPUTED_VALUE"""),"Школа 345")</f>
        <v>Школа 345</v>
      </c>
      <c r="E343" s="5"/>
      <c r="F343" s="5">
        <f ca="1">IFERROR(__xludf.DUMMYFUNCTION("""COMPUTED_VALUE"""),3)</f>
        <v>3</v>
      </c>
      <c r="G343" s="5"/>
      <c r="H343" s="5"/>
      <c r="I343" s="5"/>
      <c r="J343" s="5"/>
      <c r="K343" s="5"/>
      <c r="L343" s="5"/>
      <c r="M343">
        <f ca="1">IFERROR(__xludf.DUMMYFUNCTION("""COMPUTED_VALUE"""),3)</f>
        <v>3</v>
      </c>
      <c r="N343" s="8"/>
    </row>
    <row r="344" spans="1:14" ht="12.45" hidden="1">
      <c r="A344" t="str">
        <f ca="1">IFERROR(__xludf.DUMMYFUNCTION("""COMPUTED_VALUE"""),"III-4-040")</f>
        <v>III-4-040</v>
      </c>
      <c r="B344" t="str">
        <f ca="1">IFERROR(__xludf.DUMMYFUNCTION("""COMPUTED_VALUE"""),"Бельков")</f>
        <v>Бельков</v>
      </c>
      <c r="C344" t="str">
        <f ca="1">IFERROR(__xludf.DUMMYFUNCTION("""COMPUTED_VALUE"""),"Роман")</f>
        <v>Роман</v>
      </c>
      <c r="D344" t="str">
        <f ca="1">IFERROR(__xludf.DUMMYFUNCTION("""COMPUTED_VALUE"""),"Школа 617")</f>
        <v>Школа 617</v>
      </c>
      <c r="E344" s="5">
        <f ca="1">IFERROR(__xludf.DUMMYFUNCTION("""COMPUTED_VALUE"""),2)</f>
        <v>2</v>
      </c>
      <c r="F344" s="5"/>
      <c r="G344" s="5"/>
      <c r="H344" s="5"/>
      <c r="I344" s="5"/>
      <c r="J344" s="5"/>
      <c r="K344" s="5"/>
      <c r="L344" s="5"/>
      <c r="M344">
        <f ca="1">IFERROR(__xludf.DUMMYFUNCTION("""COMPUTED_VALUE"""),2)</f>
        <v>2</v>
      </c>
      <c r="N344" s="8"/>
    </row>
    <row r="345" spans="1:14" ht="12.45" hidden="1">
      <c r="A345" t="str">
        <f ca="1">IFERROR(__xludf.DUMMYFUNCTION("""COMPUTED_VALUE"""),"III-4-055")</f>
        <v>III-4-055</v>
      </c>
      <c r="B345" t="str">
        <f ca="1">IFERROR(__xludf.DUMMYFUNCTION("""COMPUTED_VALUE"""),"Бойкова")</f>
        <v>Бойкова</v>
      </c>
      <c r="C345" t="str">
        <f ca="1">IFERROR(__xludf.DUMMYFUNCTION("""COMPUTED_VALUE"""),"Вероника")</f>
        <v>Вероника</v>
      </c>
      <c r="D345" t="str">
        <f ca="1">IFERROR(__xludf.DUMMYFUNCTION("""COMPUTED_VALUE"""),"Лицей 273")</f>
        <v>Лицей 273</v>
      </c>
      <c r="E345" s="5">
        <f ca="1">IFERROR(__xludf.DUMMYFUNCTION("""COMPUTED_VALUE"""),2)</f>
        <v>2</v>
      </c>
      <c r="F345" s="5"/>
      <c r="G345" s="5"/>
      <c r="H345" s="5"/>
      <c r="I345" s="5"/>
      <c r="J345" s="5"/>
      <c r="K345" s="5"/>
      <c r="L345" s="5"/>
      <c r="M345">
        <f ca="1">IFERROR(__xludf.DUMMYFUNCTION("""COMPUTED_VALUE"""),2)</f>
        <v>2</v>
      </c>
      <c r="N345" s="8"/>
    </row>
    <row r="346" spans="1:14" ht="12.45" hidden="1">
      <c r="A346" t="str">
        <f ca="1">IFERROR(__xludf.DUMMYFUNCTION("""COMPUTED_VALUE"""),"III-4-068")</f>
        <v>III-4-068</v>
      </c>
      <c r="B346" t="str">
        <f ca="1">IFERROR(__xludf.DUMMYFUNCTION("""COMPUTED_VALUE"""),"Брейкина")</f>
        <v>Брейкина</v>
      </c>
      <c r="C346" t="str">
        <f ca="1">IFERROR(__xludf.DUMMYFUNCTION("""COMPUTED_VALUE"""),"Василиса")</f>
        <v>Василиса</v>
      </c>
      <c r="D346" t="str">
        <f ca="1">IFERROR(__xludf.DUMMYFUNCTION("""COMPUTED_VALUE"""),"Школа 106")</f>
        <v>Школа 106</v>
      </c>
      <c r="E346" s="5"/>
      <c r="F346" s="5"/>
      <c r="G346" s="5"/>
      <c r="H346" s="5"/>
      <c r="I346" s="5">
        <f ca="1">IFERROR(__xludf.DUMMYFUNCTION("""COMPUTED_VALUE"""),2)</f>
        <v>2</v>
      </c>
      <c r="J346" s="5"/>
      <c r="K346" s="5"/>
      <c r="L346" s="5"/>
      <c r="M346">
        <f ca="1">IFERROR(__xludf.DUMMYFUNCTION("""COMPUTED_VALUE"""),2)</f>
        <v>2</v>
      </c>
      <c r="N346" s="8"/>
    </row>
    <row r="347" spans="1:14" ht="12.45" hidden="1">
      <c r="A347" t="str">
        <f ca="1">IFERROR(__xludf.DUMMYFUNCTION("""COMPUTED_VALUE"""),"III-4-081")</f>
        <v>III-4-081</v>
      </c>
      <c r="B347" t="str">
        <f ca="1">IFERROR(__xludf.DUMMYFUNCTION("""COMPUTED_VALUE"""),"Варежников")</f>
        <v>Варежников</v>
      </c>
      <c r="C347" t="str">
        <f ca="1">IFERROR(__xludf.DUMMYFUNCTION("""COMPUTED_VALUE"""),"Кирилл")</f>
        <v>Кирилл</v>
      </c>
      <c r="D347" t="str">
        <f ca="1">IFERROR(__xludf.DUMMYFUNCTION("""COMPUTED_VALUE"""),"Лицей 150")</f>
        <v>Лицей 150</v>
      </c>
      <c r="E347" s="5">
        <f ca="1">IFERROR(__xludf.DUMMYFUNCTION("""COMPUTED_VALUE"""),2)</f>
        <v>2</v>
      </c>
      <c r="F347" s="5"/>
      <c r="G347" s="5"/>
      <c r="H347" s="5"/>
      <c r="I347" s="5"/>
      <c r="J347" s="5"/>
      <c r="K347" s="5"/>
      <c r="L347" s="5"/>
      <c r="M347">
        <f ca="1">IFERROR(__xludf.DUMMYFUNCTION("""COMPUTED_VALUE"""),2)</f>
        <v>2</v>
      </c>
      <c r="N347" s="8"/>
    </row>
    <row r="348" spans="1:14" ht="12.45" hidden="1">
      <c r="A348" t="str">
        <f ca="1">IFERROR(__xludf.DUMMYFUNCTION("""COMPUTED_VALUE"""),"III-4-094")</f>
        <v>III-4-094</v>
      </c>
      <c r="B348" t="str">
        <f ca="1">IFERROR(__xludf.DUMMYFUNCTION("""COMPUTED_VALUE"""),"Верховская")</f>
        <v>Верховская</v>
      </c>
      <c r="C348" t="str">
        <f ca="1">IFERROR(__xludf.DUMMYFUNCTION("""COMPUTED_VALUE"""),"Татьяна")</f>
        <v>Татьяна</v>
      </c>
      <c r="D348" t="str">
        <f ca="1">IFERROR(__xludf.DUMMYFUNCTION("""COMPUTED_VALUE"""),"Гимназия 271")</f>
        <v>Гимназия 271</v>
      </c>
      <c r="E348" s="5">
        <f ca="1">IFERROR(__xludf.DUMMYFUNCTION("""COMPUTED_VALUE"""),2)</f>
        <v>2</v>
      </c>
      <c r="F348" s="5"/>
      <c r="G348" s="5"/>
      <c r="H348" s="5"/>
      <c r="I348" s="5"/>
      <c r="J348" s="5"/>
      <c r="K348" s="5"/>
      <c r="L348" s="5"/>
      <c r="M348">
        <f ca="1">IFERROR(__xludf.DUMMYFUNCTION("""COMPUTED_VALUE"""),2)</f>
        <v>2</v>
      </c>
      <c r="N348" s="8"/>
    </row>
    <row r="349" spans="1:14" ht="12.45" hidden="1">
      <c r="A349" t="str">
        <f ca="1">IFERROR(__xludf.DUMMYFUNCTION("""COMPUTED_VALUE"""),"III-4-141")</f>
        <v>III-4-141</v>
      </c>
      <c r="B349" t="str">
        <f ca="1">IFERROR(__xludf.DUMMYFUNCTION("""COMPUTED_VALUE"""),"Гусева")</f>
        <v>Гусева</v>
      </c>
      <c r="C349" t="str">
        <f ca="1">IFERROR(__xludf.DUMMYFUNCTION("""COMPUTED_VALUE"""),"Юлия")</f>
        <v>Юлия</v>
      </c>
      <c r="D349" t="str">
        <f ca="1">IFERROR(__xludf.DUMMYFUNCTION("""COMPUTED_VALUE"""),"Школа 348")</f>
        <v>Школа 348</v>
      </c>
      <c r="E349" s="5">
        <f ca="1">IFERROR(__xludf.DUMMYFUNCTION("""COMPUTED_VALUE"""),2)</f>
        <v>2</v>
      </c>
      <c r="F349" s="5">
        <f ca="1">IFERROR(__xludf.DUMMYFUNCTION("""COMPUTED_VALUE"""),0)</f>
        <v>0</v>
      </c>
      <c r="G349" s="5">
        <f ca="1">IFERROR(__xludf.DUMMYFUNCTION("""COMPUTED_VALUE"""),0)</f>
        <v>0</v>
      </c>
      <c r="H349" s="5">
        <f ca="1">IFERROR(__xludf.DUMMYFUNCTION("""COMPUTED_VALUE"""),0)</f>
        <v>0</v>
      </c>
      <c r="I349" s="5">
        <f ca="1">IFERROR(__xludf.DUMMYFUNCTION("""COMPUTED_VALUE"""),0)</f>
        <v>0</v>
      </c>
      <c r="J349" s="5">
        <f ca="1">IFERROR(__xludf.DUMMYFUNCTION("""COMPUTED_VALUE"""),0)</f>
        <v>0</v>
      </c>
      <c r="K349" s="5">
        <f ca="1">IFERROR(__xludf.DUMMYFUNCTION("""COMPUTED_VALUE"""),0)</f>
        <v>0</v>
      </c>
      <c r="L349" s="5"/>
      <c r="M349">
        <f ca="1">IFERROR(__xludf.DUMMYFUNCTION("""COMPUTED_VALUE"""),2)</f>
        <v>2</v>
      </c>
      <c r="N349" s="8"/>
    </row>
    <row r="350" spans="1:14" ht="12.45" hidden="1">
      <c r="A350" t="str">
        <f ca="1">IFERROR(__xludf.DUMMYFUNCTION("""COMPUTED_VALUE"""),"III-4-143")</f>
        <v>III-4-143</v>
      </c>
      <c r="B350" t="str">
        <f ca="1">IFERROR(__xludf.DUMMYFUNCTION("""COMPUTED_VALUE"""),"Давыдова")</f>
        <v>Давыдова</v>
      </c>
      <c r="C350" t="str">
        <f ca="1">IFERROR(__xludf.DUMMYFUNCTION("""COMPUTED_VALUE"""),"Дарья")</f>
        <v>Дарья</v>
      </c>
      <c r="D350" t="str">
        <f ca="1">IFERROR(__xludf.DUMMYFUNCTION("""COMPUTED_VALUE"""),"Лицей 419")</f>
        <v>Лицей 419</v>
      </c>
      <c r="E350" s="5">
        <f ca="1">IFERROR(__xludf.DUMMYFUNCTION("""COMPUTED_VALUE"""),2)</f>
        <v>2</v>
      </c>
      <c r="F350" s="5"/>
      <c r="G350" s="5"/>
      <c r="H350" s="5"/>
      <c r="I350" s="5"/>
      <c r="J350" s="5"/>
      <c r="K350" s="5"/>
      <c r="L350" s="5"/>
      <c r="M350">
        <f ca="1">IFERROR(__xludf.DUMMYFUNCTION("""COMPUTED_VALUE"""),2)</f>
        <v>2</v>
      </c>
      <c r="N350" s="8"/>
    </row>
    <row r="351" spans="1:14" ht="12.45" hidden="1">
      <c r="A351" t="str">
        <f ca="1">IFERROR(__xludf.DUMMYFUNCTION("""COMPUTED_VALUE"""),"III-4-162")</f>
        <v>III-4-162</v>
      </c>
      <c r="B351" t="str">
        <f ca="1">IFERROR(__xludf.DUMMYFUNCTION("""COMPUTED_VALUE"""),"Дымников")</f>
        <v>Дымников</v>
      </c>
      <c r="C351" t="str">
        <f ca="1">IFERROR(__xludf.DUMMYFUNCTION("""COMPUTED_VALUE"""),"Никита")</f>
        <v>Никита</v>
      </c>
      <c r="D351" t="str">
        <f ca="1">IFERROR(__xludf.DUMMYFUNCTION("""COMPUTED_VALUE"""),"Школа 4 Ж.И.Кусто")</f>
        <v>Школа 4 Ж.И.Кусто</v>
      </c>
      <c r="E351" s="5">
        <f ca="1">IFERROR(__xludf.DUMMYFUNCTION("""COMPUTED_VALUE"""),2)</f>
        <v>2</v>
      </c>
      <c r="F351" s="5"/>
      <c r="G351" s="5"/>
      <c r="H351" s="5"/>
      <c r="I351" s="5"/>
      <c r="J351" s="5"/>
      <c r="K351" s="5"/>
      <c r="L351" s="5"/>
      <c r="M351">
        <f ca="1">IFERROR(__xludf.DUMMYFUNCTION("""COMPUTED_VALUE"""),2)</f>
        <v>2</v>
      </c>
      <c r="N351" s="8"/>
    </row>
    <row r="352" spans="1:14" ht="12.45" hidden="1">
      <c r="A352" t="str">
        <f ca="1">IFERROR(__xludf.DUMMYFUNCTION("""COMPUTED_VALUE"""),"III-4-175")</f>
        <v>III-4-175</v>
      </c>
      <c r="B352" t="str">
        <f ca="1">IFERROR(__xludf.DUMMYFUNCTION("""COMPUTED_VALUE"""),"Жильцов")</f>
        <v>Жильцов</v>
      </c>
      <c r="C352" t="str">
        <f ca="1">IFERROR(__xludf.DUMMYFUNCTION("""COMPUTED_VALUE"""),"Сергей")</f>
        <v>Сергей</v>
      </c>
      <c r="D352" t="str">
        <f ca="1">IFERROR(__xludf.DUMMYFUNCTION("""COMPUTED_VALUE"""),"Школа 700")</f>
        <v>Школа 700</v>
      </c>
      <c r="E352" s="5"/>
      <c r="F352" s="5">
        <f ca="1">IFERROR(__xludf.DUMMYFUNCTION("""COMPUTED_VALUE"""),2)</f>
        <v>2</v>
      </c>
      <c r="G352" s="5"/>
      <c r="H352" s="5"/>
      <c r="I352" s="5"/>
      <c r="J352" s="5"/>
      <c r="K352" s="5"/>
      <c r="L352" s="5"/>
      <c r="M352">
        <f ca="1">IFERROR(__xludf.DUMMYFUNCTION("""COMPUTED_VALUE"""),2)</f>
        <v>2</v>
      </c>
      <c r="N352" s="8"/>
    </row>
    <row r="353" spans="1:14" ht="12.45" hidden="1">
      <c r="A353" t="str">
        <f ca="1">IFERROR(__xludf.DUMMYFUNCTION("""COMPUTED_VALUE"""),"III-4-192")</f>
        <v>III-4-192</v>
      </c>
      <c r="B353" t="str">
        <f ca="1">IFERROR(__xludf.DUMMYFUNCTION("""COMPUTED_VALUE"""),"Зубова")</f>
        <v>Зубова</v>
      </c>
      <c r="C353" t="str">
        <f ca="1">IFERROR(__xludf.DUMMYFUNCTION("""COMPUTED_VALUE"""),"Анна")</f>
        <v>Анна</v>
      </c>
      <c r="D353" t="str">
        <f ca="1">IFERROR(__xludf.DUMMYFUNCTION("""COMPUTED_VALUE"""),"Школа 619")</f>
        <v>Школа 619</v>
      </c>
      <c r="E353" s="5">
        <f ca="1">IFERROR(__xludf.DUMMYFUNCTION("""COMPUTED_VALUE"""),2)</f>
        <v>2</v>
      </c>
      <c r="F353" s="5"/>
      <c r="G353" s="5"/>
      <c r="H353" s="5"/>
      <c r="I353" s="5"/>
      <c r="J353" s="5"/>
      <c r="K353" s="5"/>
      <c r="L353" s="5"/>
      <c r="M353">
        <f ca="1">IFERROR(__xludf.DUMMYFUNCTION("""COMPUTED_VALUE"""),2)</f>
        <v>2</v>
      </c>
      <c r="N353" s="8"/>
    </row>
    <row r="354" spans="1:14" ht="12.45" hidden="1">
      <c r="A354" t="str">
        <f ca="1">IFERROR(__xludf.DUMMYFUNCTION("""COMPUTED_VALUE"""),"III-4-209")</f>
        <v>III-4-209</v>
      </c>
      <c r="B354" t="str">
        <f ca="1">IFERROR(__xludf.DUMMYFUNCTION("""COMPUTED_VALUE"""),"Каминская")</f>
        <v>Каминская</v>
      </c>
      <c r="C354" t="str">
        <f ca="1">IFERROR(__xludf.DUMMYFUNCTION("""COMPUTED_VALUE"""),"Ульяна")</f>
        <v>Ульяна</v>
      </c>
      <c r="D354" t="str">
        <f ca="1">IFERROR(__xludf.DUMMYFUNCTION("""COMPUTED_VALUE"""),"Гимназия 171")</f>
        <v>Гимназия 171</v>
      </c>
      <c r="E354" s="5">
        <f ca="1">IFERROR(__xludf.DUMMYFUNCTION("""COMPUTED_VALUE"""),2)</f>
        <v>2</v>
      </c>
      <c r="F354" s="5"/>
      <c r="G354" s="5"/>
      <c r="H354" s="5"/>
      <c r="I354" s="5"/>
      <c r="J354" s="5"/>
      <c r="K354" s="5"/>
      <c r="L354" s="5"/>
      <c r="M354">
        <f ca="1">IFERROR(__xludf.DUMMYFUNCTION("""COMPUTED_VALUE"""),2)</f>
        <v>2</v>
      </c>
      <c r="N354" s="8"/>
    </row>
    <row r="355" spans="1:14" ht="12.45" hidden="1">
      <c r="A355" t="str">
        <f ca="1">IFERROR(__xludf.DUMMYFUNCTION("""COMPUTED_VALUE"""),"III-4-215")</f>
        <v>III-4-215</v>
      </c>
      <c r="B355" t="str">
        <f ca="1">IFERROR(__xludf.DUMMYFUNCTION("""COMPUTED_VALUE"""),"Касаткин")</f>
        <v>Касаткин</v>
      </c>
      <c r="C355" t="str">
        <f ca="1">IFERROR(__xludf.DUMMYFUNCTION("""COMPUTED_VALUE"""),"Михаил")</f>
        <v>Михаил</v>
      </c>
      <c r="D355" t="str">
        <f ca="1">IFERROR(__xludf.DUMMYFUNCTION("""COMPUTED_VALUE"""),"Гимназия 587")</f>
        <v>Гимназия 587</v>
      </c>
      <c r="E355" s="5">
        <f ca="1">IFERROR(__xludf.DUMMYFUNCTION("""COMPUTED_VALUE"""),2)</f>
        <v>2</v>
      </c>
      <c r="F355" s="5"/>
      <c r="G355" s="5"/>
      <c r="H355" s="5"/>
      <c r="I355" s="5"/>
      <c r="J355" s="5"/>
      <c r="K355" s="5"/>
      <c r="L355" s="5"/>
      <c r="M355">
        <f ca="1">IFERROR(__xludf.DUMMYFUNCTION("""COMPUTED_VALUE"""),2)</f>
        <v>2</v>
      </c>
      <c r="N355" s="8"/>
    </row>
    <row r="356" spans="1:14" ht="12.45" hidden="1">
      <c r="A356" t="str">
        <f ca="1">IFERROR(__xludf.DUMMYFUNCTION("""COMPUTED_VALUE"""),"V-4-347")</f>
        <v>V-4-347</v>
      </c>
      <c r="B356" t="str">
        <f ca="1">IFERROR(__xludf.DUMMYFUNCTION("""COMPUTED_VALUE"""),"Петухов")</f>
        <v>Петухов</v>
      </c>
      <c r="C356" t="str">
        <f ca="1">IFERROR(__xludf.DUMMYFUNCTION("""COMPUTED_VALUE"""),"Александр")</f>
        <v>Александр</v>
      </c>
      <c r="D356" t="str">
        <f ca="1">IFERROR(__xludf.DUMMYFUNCTION("""COMPUTED_VALUE"""),"Лицей 470")</f>
        <v>Лицей 470</v>
      </c>
      <c r="E356" s="5">
        <f ca="1">IFERROR(__xludf.DUMMYFUNCTION("""COMPUTED_VALUE"""),2)</f>
        <v>2</v>
      </c>
      <c r="F356" s="5"/>
      <c r="G356" s="5"/>
      <c r="H356" s="5"/>
      <c r="I356" s="5"/>
      <c r="J356" s="5"/>
      <c r="K356" s="5"/>
      <c r="L356" s="5"/>
      <c r="M356">
        <f ca="1">IFERROR(__xludf.DUMMYFUNCTION("""COMPUTED_VALUE"""),2)</f>
        <v>2</v>
      </c>
      <c r="N356" s="8"/>
    </row>
    <row r="357" spans="1:14" ht="12.45" hidden="1">
      <c r="A357" t="str">
        <f ca="1">IFERROR(__xludf.DUMMYFUNCTION("""COMPUTED_VALUE"""),"V-4-350")</f>
        <v>V-4-350</v>
      </c>
      <c r="B357" t="str">
        <f ca="1">IFERROR(__xludf.DUMMYFUNCTION("""COMPUTED_VALUE"""),"Пинаева")</f>
        <v>Пинаева</v>
      </c>
      <c r="C357" t="str">
        <f ca="1">IFERROR(__xludf.DUMMYFUNCTION("""COMPUTED_VALUE"""),"Алёна")</f>
        <v>Алёна</v>
      </c>
      <c r="D357" t="str">
        <f ca="1">IFERROR(__xludf.DUMMYFUNCTION("""COMPUTED_VALUE"""),"Лицей 470")</f>
        <v>Лицей 470</v>
      </c>
      <c r="E357" s="5">
        <f ca="1">IFERROR(__xludf.DUMMYFUNCTION("""COMPUTED_VALUE"""),2)</f>
        <v>2</v>
      </c>
      <c r="F357" s="5"/>
      <c r="G357" s="5"/>
      <c r="H357" s="5"/>
      <c r="I357" s="5"/>
      <c r="J357" s="5"/>
      <c r="K357" s="5"/>
      <c r="L357" s="5"/>
      <c r="M357">
        <f ca="1">IFERROR(__xludf.DUMMYFUNCTION("""COMPUTED_VALUE"""),2)</f>
        <v>2</v>
      </c>
      <c r="N357" s="8"/>
    </row>
    <row r="358" spans="1:14" ht="12.45" hidden="1">
      <c r="A358" t="str">
        <f ca="1">IFERROR(__xludf.DUMMYFUNCTION("""COMPUTED_VALUE"""),"V-4-356")</f>
        <v>V-4-356</v>
      </c>
      <c r="B358" t="str">
        <f ca="1">IFERROR(__xludf.DUMMYFUNCTION("""COMPUTED_VALUE"""),"Поддубная")</f>
        <v>Поддубная</v>
      </c>
      <c r="C358" t="str">
        <f ca="1">IFERROR(__xludf.DUMMYFUNCTION("""COMPUTED_VALUE"""),"Варвара")</f>
        <v>Варвара</v>
      </c>
      <c r="D358" t="str">
        <f ca="1">IFERROR(__xludf.DUMMYFUNCTION("""COMPUTED_VALUE"""),"Гимназия 74")</f>
        <v>Гимназия 74</v>
      </c>
      <c r="E358" s="5">
        <f ca="1">IFERROR(__xludf.DUMMYFUNCTION("""COMPUTED_VALUE"""),2)</f>
        <v>2</v>
      </c>
      <c r="F358" s="5"/>
      <c r="G358" s="5"/>
      <c r="H358" s="5"/>
      <c r="I358" s="5"/>
      <c r="J358" s="5"/>
      <c r="K358" s="5"/>
      <c r="L358" s="5"/>
      <c r="M358">
        <f ca="1">IFERROR(__xludf.DUMMYFUNCTION("""COMPUTED_VALUE"""),2)</f>
        <v>2</v>
      </c>
      <c r="N358" s="8"/>
    </row>
    <row r="359" spans="1:14" ht="12.45" hidden="1">
      <c r="A359" t="str">
        <f ca="1">IFERROR(__xludf.DUMMYFUNCTION("""COMPUTED_VALUE"""),"V-4-381")</f>
        <v>V-4-381</v>
      </c>
      <c r="B359" t="str">
        <f ca="1">IFERROR(__xludf.DUMMYFUNCTION("""COMPUTED_VALUE"""),"Раздрогин")</f>
        <v>Раздрогин</v>
      </c>
      <c r="C359" t="str">
        <f ca="1">IFERROR(__xludf.DUMMYFUNCTION("""COMPUTED_VALUE"""),"Ян")</f>
        <v>Ян</v>
      </c>
      <c r="D359" t="str">
        <f ca="1">IFERROR(__xludf.DUMMYFUNCTION("""COMPUTED_VALUE"""),"Гимназия 261")</f>
        <v>Гимназия 261</v>
      </c>
      <c r="E359" s="5"/>
      <c r="F359" s="5"/>
      <c r="G359" s="5">
        <f ca="1">IFERROR(__xludf.DUMMYFUNCTION("""COMPUTED_VALUE"""),2)</f>
        <v>2</v>
      </c>
      <c r="H359" s="5"/>
      <c r="I359" s="5"/>
      <c r="J359" s="5"/>
      <c r="K359" s="5"/>
      <c r="L359" s="5"/>
      <c r="M359">
        <f ca="1">IFERROR(__xludf.DUMMYFUNCTION("""COMPUTED_VALUE"""),2)</f>
        <v>2</v>
      </c>
      <c r="N359" s="8"/>
    </row>
    <row r="360" spans="1:14" ht="12.45" hidden="1">
      <c r="A360" t="str">
        <f ca="1">IFERROR(__xludf.DUMMYFUNCTION("""COMPUTED_VALUE"""),"V-4-452")</f>
        <v>V-4-452</v>
      </c>
      <c r="B360" t="str">
        <f ca="1">IFERROR(__xludf.DUMMYFUNCTION("""COMPUTED_VALUE"""),"Сыркин")</f>
        <v>Сыркин</v>
      </c>
      <c r="C360" t="str">
        <f ca="1">IFERROR(__xludf.DUMMYFUNCTION("""COMPUTED_VALUE"""),"Эрик")</f>
        <v>Эрик</v>
      </c>
      <c r="D360" t="str">
        <f ca="1">IFERROR(__xludf.DUMMYFUNCTION("""COMPUTED_VALUE"""),"Школа 700")</f>
        <v>Школа 700</v>
      </c>
      <c r="E360" s="5">
        <f ca="1">IFERROR(__xludf.DUMMYFUNCTION("""COMPUTED_VALUE"""),2)</f>
        <v>2</v>
      </c>
      <c r="F360" s="5"/>
      <c r="G360" s="5"/>
      <c r="H360" s="5"/>
      <c r="I360" s="5"/>
      <c r="J360" s="5"/>
      <c r="K360" s="5"/>
      <c r="L360" s="5"/>
      <c r="M360">
        <f ca="1">IFERROR(__xludf.DUMMYFUNCTION("""COMPUTED_VALUE"""),2)</f>
        <v>2</v>
      </c>
      <c r="N360" s="8"/>
    </row>
    <row r="361" spans="1:14" ht="12.45" hidden="1">
      <c r="A361" t="str">
        <f ca="1">IFERROR(__xludf.DUMMYFUNCTION("""COMPUTED_VALUE"""),"III-4-003")</f>
        <v>III-4-003</v>
      </c>
      <c r="B361" t="str">
        <f ca="1">IFERROR(__xludf.DUMMYFUNCTION("""COMPUTED_VALUE"""),"Абрамов")</f>
        <v>Абрамов</v>
      </c>
      <c r="C361" t="str">
        <f ca="1">IFERROR(__xludf.DUMMYFUNCTION("""COMPUTED_VALUE"""),"Павел")</f>
        <v>Павел</v>
      </c>
      <c r="D361" t="str">
        <f ca="1">IFERROR(__xludf.DUMMYFUNCTION("""COMPUTED_VALUE"""),"Школа 4")</f>
        <v>Школа 4</v>
      </c>
      <c r="E361" s="5"/>
      <c r="F361" s="5"/>
      <c r="G361" s="5"/>
      <c r="H361" s="5"/>
      <c r="I361" s="5"/>
      <c r="J361" s="5"/>
      <c r="K361" s="5"/>
      <c r="L361" s="5"/>
      <c r="M361">
        <f ca="1">IFERROR(__xludf.DUMMYFUNCTION("""COMPUTED_VALUE"""),0)</f>
        <v>0</v>
      </c>
      <c r="N361" s="8"/>
    </row>
    <row r="362" spans="1:14" ht="12.45" hidden="1">
      <c r="A362" t="str">
        <f ca="1">IFERROR(__xludf.DUMMYFUNCTION("""COMPUTED_VALUE"""),"III-4-005")</f>
        <v>III-4-005</v>
      </c>
      <c r="B362" t="str">
        <f ca="1">IFERROR(__xludf.DUMMYFUNCTION("""COMPUTED_VALUE"""),"Агашкова")</f>
        <v>Агашкова</v>
      </c>
      <c r="C362" t="str">
        <f ca="1">IFERROR(__xludf.DUMMYFUNCTION("""COMPUTED_VALUE"""),"Жанна")</f>
        <v>Жанна</v>
      </c>
      <c r="D362" t="str">
        <f ca="1">IFERROR(__xludf.DUMMYFUNCTION("""COMPUTED_VALUE"""),"Школа 571")</f>
        <v>Школа 571</v>
      </c>
      <c r="E362" s="5"/>
      <c r="F362" s="5"/>
      <c r="G362" s="5"/>
      <c r="H362" s="5"/>
      <c r="I362" s="5"/>
      <c r="J362" s="5"/>
      <c r="K362" s="5"/>
      <c r="L362" s="5"/>
      <c r="M362">
        <f ca="1">IFERROR(__xludf.DUMMYFUNCTION("""COMPUTED_VALUE"""),0)</f>
        <v>0</v>
      </c>
      <c r="N362" s="8"/>
    </row>
    <row r="363" spans="1:14" ht="12.45" hidden="1">
      <c r="A363" t="str">
        <f ca="1">IFERROR(__xludf.DUMMYFUNCTION("""COMPUTED_VALUE"""),"III-4-011")</f>
        <v>III-4-011</v>
      </c>
      <c r="B363" t="str">
        <f ca="1">IFERROR(__xludf.DUMMYFUNCTION("""COMPUTED_VALUE"""),"Алексеенко")</f>
        <v>Алексеенко</v>
      </c>
      <c r="C363" t="str">
        <f ca="1">IFERROR(__xludf.DUMMYFUNCTION("""COMPUTED_VALUE"""),"Вадим")</f>
        <v>Вадим</v>
      </c>
      <c r="D363" t="str">
        <f ca="1">IFERROR(__xludf.DUMMYFUNCTION("""COMPUTED_VALUE"""),"Школа 619")</f>
        <v>Школа 619</v>
      </c>
      <c r="E363" s="5"/>
      <c r="F363" s="5"/>
      <c r="G363" s="5"/>
      <c r="H363" s="5"/>
      <c r="I363" s="5"/>
      <c r="J363" s="5"/>
      <c r="K363" s="5"/>
      <c r="L363" s="5"/>
      <c r="M363">
        <f ca="1">IFERROR(__xludf.DUMMYFUNCTION("""COMPUTED_VALUE"""),0)</f>
        <v>0</v>
      </c>
      <c r="N363" s="8"/>
    </row>
    <row r="364" spans="1:14" ht="12.45" hidden="1">
      <c r="A364" t="str">
        <f ca="1">IFERROR(__xludf.DUMMYFUNCTION("""COMPUTED_VALUE"""),"III-4-013")</f>
        <v>III-4-013</v>
      </c>
      <c r="B364" t="str">
        <f ca="1">IFERROR(__xludf.DUMMYFUNCTION("""COMPUTED_VALUE"""),"Анисенков")</f>
        <v>Анисенков</v>
      </c>
      <c r="C364" t="str">
        <f ca="1">IFERROR(__xludf.DUMMYFUNCTION("""COMPUTED_VALUE"""),"Михаил")</f>
        <v>Михаил</v>
      </c>
      <c r="D364" t="str">
        <f ca="1">IFERROR(__xludf.DUMMYFUNCTION("""COMPUTED_VALUE"""),"Лицей 41")</f>
        <v>Лицей 41</v>
      </c>
      <c r="E364" s="5"/>
      <c r="F364" s="5"/>
      <c r="G364" s="5"/>
      <c r="H364" s="5"/>
      <c r="I364" s="5"/>
      <c r="J364" s="5"/>
      <c r="K364" s="5"/>
      <c r="L364" s="5"/>
      <c r="M364">
        <f ca="1">IFERROR(__xludf.DUMMYFUNCTION("""COMPUTED_VALUE"""),0)</f>
        <v>0</v>
      </c>
      <c r="N364" s="8"/>
    </row>
    <row r="365" spans="1:14" ht="12.45" hidden="1">
      <c r="A365" t="str">
        <f ca="1">IFERROR(__xludf.DUMMYFUNCTION("""COMPUTED_VALUE"""),"III-4-015")</f>
        <v>III-4-015</v>
      </c>
      <c r="B365" t="str">
        <f ca="1">IFERROR(__xludf.DUMMYFUNCTION("""COMPUTED_VALUE"""),"Антонова")</f>
        <v>Антонова</v>
      </c>
      <c r="C365" t="str">
        <f ca="1">IFERROR(__xludf.DUMMYFUNCTION("""COMPUTED_VALUE"""),"Василиса")</f>
        <v>Василиса</v>
      </c>
      <c r="D365" t="str">
        <f ca="1">IFERROR(__xludf.DUMMYFUNCTION("""COMPUTED_VALUE"""),"Гимназия 56")</f>
        <v>Гимназия 56</v>
      </c>
      <c r="E365" s="5"/>
      <c r="F365" s="5"/>
      <c r="G365" s="5"/>
      <c r="H365" s="5"/>
      <c r="I365" s="5"/>
      <c r="J365" s="5"/>
      <c r="K365" s="5"/>
      <c r="L365" s="5"/>
      <c r="M365">
        <f ca="1">IFERROR(__xludf.DUMMYFUNCTION("""COMPUTED_VALUE"""),0)</f>
        <v>0</v>
      </c>
      <c r="N365" s="8"/>
    </row>
    <row r="366" spans="1:14" ht="12.45" hidden="1">
      <c r="A366" t="str">
        <f ca="1">IFERROR(__xludf.DUMMYFUNCTION("""COMPUTED_VALUE"""),"III-4-017")</f>
        <v>III-4-017</v>
      </c>
      <c r="B366" t="str">
        <f ca="1">IFERROR(__xludf.DUMMYFUNCTION("""COMPUTED_VALUE"""),"Антонович")</f>
        <v>Антонович</v>
      </c>
      <c r="C366" t="str">
        <f ca="1">IFERROR(__xludf.DUMMYFUNCTION("""COMPUTED_VALUE"""),"Анастасия")</f>
        <v>Анастасия</v>
      </c>
      <c r="D366" t="str">
        <f ca="1">IFERROR(__xludf.DUMMYFUNCTION("""COMPUTED_VALUE"""),"Школа 257")</f>
        <v>Школа 257</v>
      </c>
      <c r="E366" s="5"/>
      <c r="F366" s="5"/>
      <c r="G366" s="5"/>
      <c r="H366" s="5"/>
      <c r="I366" s="5"/>
      <c r="J366" s="5"/>
      <c r="K366" s="5"/>
      <c r="L366" s="5"/>
      <c r="M366">
        <f ca="1">IFERROR(__xludf.DUMMYFUNCTION("""COMPUTED_VALUE"""),0)</f>
        <v>0</v>
      </c>
      <c r="N366" s="8"/>
    </row>
    <row r="367" spans="1:14" ht="12.45" hidden="1">
      <c r="A367" t="str">
        <f ca="1">IFERROR(__xludf.DUMMYFUNCTION("""COMPUTED_VALUE"""),"III-4-021")</f>
        <v>III-4-021</v>
      </c>
      <c r="B367" t="str">
        <f ca="1">IFERROR(__xludf.DUMMYFUNCTION("""COMPUTED_VALUE"""),"Афанасьев")</f>
        <v>Афанасьев</v>
      </c>
      <c r="C367" t="str">
        <f ca="1">IFERROR(__xludf.DUMMYFUNCTION("""COMPUTED_VALUE"""),"Олег")</f>
        <v>Олег</v>
      </c>
      <c r="D367" t="str">
        <f ca="1">IFERROR(__xludf.DUMMYFUNCTION("""COMPUTED_VALUE"""),"Гимназия 83")</f>
        <v>Гимназия 83</v>
      </c>
      <c r="E367" s="5"/>
      <c r="F367" s="5"/>
      <c r="G367" s="5"/>
      <c r="H367" s="5"/>
      <c r="I367" s="5"/>
      <c r="J367" s="5"/>
      <c r="K367" s="5"/>
      <c r="L367" s="5"/>
      <c r="M367">
        <f ca="1">IFERROR(__xludf.DUMMYFUNCTION("""COMPUTED_VALUE"""),0)</f>
        <v>0</v>
      </c>
      <c r="N367" s="8"/>
    </row>
    <row r="368" spans="1:14" ht="12.45" hidden="1">
      <c r="A368" t="str">
        <f ca="1">IFERROR(__xludf.DUMMYFUNCTION("""COMPUTED_VALUE"""),"III-4-020")</f>
        <v>III-4-020</v>
      </c>
      <c r="B368" t="str">
        <f ca="1">IFERROR(__xludf.DUMMYFUNCTION("""COMPUTED_VALUE"""),"Афанасьев")</f>
        <v>Афанасьев</v>
      </c>
      <c r="C368" t="str">
        <f ca="1">IFERROR(__xludf.DUMMYFUNCTION("""COMPUTED_VALUE"""),"Артём")</f>
        <v>Артём</v>
      </c>
      <c r="D368" t="str">
        <f ca="1">IFERROR(__xludf.DUMMYFUNCTION("""COMPUTED_VALUE"""),"Школа 644")</f>
        <v>Школа 644</v>
      </c>
      <c r="E368" s="5"/>
      <c r="F368" s="5"/>
      <c r="G368" s="5"/>
      <c r="H368" s="5"/>
      <c r="I368" s="5"/>
      <c r="J368" s="5"/>
      <c r="K368" s="5"/>
      <c r="L368" s="5"/>
      <c r="M368">
        <f ca="1">IFERROR(__xludf.DUMMYFUNCTION("""COMPUTED_VALUE"""),0)</f>
        <v>0</v>
      </c>
      <c r="N368" s="8"/>
    </row>
    <row r="369" spans="1:14" ht="12.45" hidden="1">
      <c r="A369" t="str">
        <f ca="1">IFERROR(__xludf.DUMMYFUNCTION("""COMPUTED_VALUE"""),"III-4-038")</f>
        <v>III-4-038</v>
      </c>
      <c r="B369" t="str">
        <f ca="1">IFERROR(__xludf.DUMMYFUNCTION("""COMPUTED_VALUE"""),"Белоусов")</f>
        <v>Белоусов</v>
      </c>
      <c r="C369" t="str">
        <f ca="1">IFERROR(__xludf.DUMMYFUNCTION("""COMPUTED_VALUE"""),"Игорь")</f>
        <v>Игорь</v>
      </c>
      <c r="D369" t="str">
        <f ca="1">IFERROR(__xludf.DUMMYFUNCTION("""COMPUTED_VALUE"""),"Школа 327")</f>
        <v>Школа 327</v>
      </c>
      <c r="E369" s="5">
        <f ca="1">IFERROR(__xludf.DUMMYFUNCTION("""COMPUTED_VALUE"""),0)</f>
        <v>0</v>
      </c>
      <c r="F369" s="5"/>
      <c r="G369" s="5"/>
      <c r="H369" s="5"/>
      <c r="I369" s="5"/>
      <c r="J369" s="5"/>
      <c r="K369" s="5"/>
      <c r="L369" s="5"/>
      <c r="M369">
        <f ca="1">IFERROR(__xludf.DUMMYFUNCTION("""COMPUTED_VALUE"""),0)</f>
        <v>0</v>
      </c>
      <c r="N369" s="8"/>
    </row>
    <row r="370" spans="1:14" ht="12.45" hidden="1">
      <c r="A370" t="str">
        <f ca="1">IFERROR(__xludf.DUMMYFUNCTION("""COMPUTED_VALUE"""),"III-4-050")</f>
        <v>III-4-050</v>
      </c>
      <c r="B370" t="str">
        <f ca="1">IFERROR(__xludf.DUMMYFUNCTION("""COMPUTED_VALUE"""),"Блит")</f>
        <v>Блит</v>
      </c>
      <c r="C370" t="str">
        <f ca="1">IFERROR(__xludf.DUMMYFUNCTION("""COMPUTED_VALUE"""),"Леонид")</f>
        <v>Леонид</v>
      </c>
      <c r="D370" t="str">
        <f ca="1">IFERROR(__xludf.DUMMYFUNCTION("""COMPUTED_VALUE"""),"Школа 376")</f>
        <v>Школа 376</v>
      </c>
      <c r="E370" s="5">
        <f ca="1">IFERROR(__xludf.DUMMYFUNCTION("""COMPUTED_VALUE"""),0)</f>
        <v>0</v>
      </c>
      <c r="F370" s="5"/>
      <c r="G370" s="5"/>
      <c r="H370" s="5"/>
      <c r="I370" s="5"/>
      <c r="J370" s="5"/>
      <c r="K370" s="5"/>
      <c r="L370" s="5"/>
      <c r="M370">
        <f ca="1">IFERROR(__xludf.DUMMYFUNCTION("""COMPUTED_VALUE"""),0)</f>
        <v>0</v>
      </c>
      <c r="N370" s="8"/>
    </row>
    <row r="371" spans="1:14" ht="12.45" hidden="1">
      <c r="A371" t="str">
        <f ca="1">IFERROR(__xludf.DUMMYFUNCTION("""COMPUTED_VALUE"""),"III-4-066")</f>
        <v>III-4-066</v>
      </c>
      <c r="B371" t="str">
        <f ca="1">IFERROR(__xludf.DUMMYFUNCTION("""COMPUTED_VALUE"""),"Бочарова")</f>
        <v>Бочарова</v>
      </c>
      <c r="C371" t="str">
        <f ca="1">IFERROR(__xludf.DUMMYFUNCTION("""COMPUTED_VALUE"""),"Диана")</f>
        <v>Диана</v>
      </c>
      <c r="D371" t="str">
        <f ca="1">IFERROR(__xludf.DUMMYFUNCTION("""COMPUTED_VALUE"""),"Гимназия 446")</f>
        <v>Гимназия 446</v>
      </c>
      <c r="E371" s="5">
        <f ca="1">IFERROR(__xludf.DUMMYFUNCTION("""COMPUTED_VALUE"""),0)</f>
        <v>0</v>
      </c>
      <c r="F371" s="5"/>
      <c r="G371" s="5"/>
      <c r="H371" s="5"/>
      <c r="I371" s="5"/>
      <c r="J371" s="5"/>
      <c r="K371" s="5"/>
      <c r="L371" s="5"/>
      <c r="M371">
        <f ca="1">IFERROR(__xludf.DUMMYFUNCTION("""COMPUTED_VALUE"""),0)</f>
        <v>0</v>
      </c>
      <c r="N371" s="8"/>
    </row>
    <row r="372" spans="1:14" ht="12.45" hidden="1">
      <c r="A372" t="str">
        <f ca="1">IFERROR(__xludf.DUMMYFUNCTION("""COMPUTED_VALUE"""),"III-4-041")</f>
        <v>III-4-041</v>
      </c>
      <c r="B372" t="str">
        <f ca="1">IFERROR(__xludf.DUMMYFUNCTION("""COMPUTED_VALUE"""),"Беляев")</f>
        <v>Беляев</v>
      </c>
      <c r="C372" t="str">
        <f ca="1">IFERROR(__xludf.DUMMYFUNCTION("""COMPUTED_VALUE"""),"Кирилл")</f>
        <v>Кирилл</v>
      </c>
      <c r="D372" t="str">
        <f ca="1">IFERROR(__xludf.DUMMYFUNCTION("""COMPUTED_VALUE"""),"Школа 625")</f>
        <v>Школа 625</v>
      </c>
      <c r="E372" s="5"/>
      <c r="F372" s="5"/>
      <c r="G372" s="5"/>
      <c r="H372" s="5"/>
      <c r="I372" s="5"/>
      <c r="J372" s="5"/>
      <c r="K372" s="5"/>
      <c r="L372" s="5"/>
      <c r="M372">
        <f ca="1">IFERROR(__xludf.DUMMYFUNCTION("""COMPUTED_VALUE"""),0)</f>
        <v>0</v>
      </c>
      <c r="N372" s="8"/>
    </row>
    <row r="373" spans="1:14" ht="12.45" hidden="1">
      <c r="A373" t="str">
        <f ca="1">IFERROR(__xludf.DUMMYFUNCTION("""COMPUTED_VALUE"""),"III-4-045")</f>
        <v>III-4-045</v>
      </c>
      <c r="B373" t="str">
        <f ca="1">IFERROR(__xludf.DUMMYFUNCTION("""COMPUTED_VALUE"""),"Бессолова")</f>
        <v>Бессолова</v>
      </c>
      <c r="C373" t="str">
        <f ca="1">IFERROR(__xludf.DUMMYFUNCTION("""COMPUTED_VALUE"""),"Мария")</f>
        <v>Мария</v>
      </c>
      <c r="D373" t="str">
        <f ca="1">IFERROR(__xludf.DUMMYFUNCTION("""COMPUTED_VALUE"""),"Лицей Лицей 41 г.Ижевска")</f>
        <v>Лицей Лицей 41 г.Ижевска</v>
      </c>
      <c r="E373" s="5"/>
      <c r="F373" s="5"/>
      <c r="G373" s="5"/>
      <c r="H373" s="5"/>
      <c r="I373" s="5"/>
      <c r="J373" s="5"/>
      <c r="K373" s="5"/>
      <c r="L373" s="5"/>
      <c r="M373">
        <f ca="1">IFERROR(__xludf.DUMMYFUNCTION("""COMPUTED_VALUE"""),0)</f>
        <v>0</v>
      </c>
      <c r="N373" s="8"/>
    </row>
    <row r="374" spans="1:14" ht="12.45" hidden="1">
      <c r="A374" t="str">
        <f ca="1">IFERROR(__xludf.DUMMYFUNCTION("""COMPUTED_VALUE"""),"III-4-048")</f>
        <v>III-4-048</v>
      </c>
      <c r="B374" t="str">
        <f ca="1">IFERROR(__xludf.DUMMYFUNCTION("""COMPUTED_VALUE"""),"Бихтер")</f>
        <v>Бихтер</v>
      </c>
      <c r="C374" t="str">
        <f ca="1">IFERROR(__xludf.DUMMYFUNCTION("""COMPUTED_VALUE"""),"Алиса")</f>
        <v>Алиса</v>
      </c>
      <c r="D374" t="str">
        <f ca="1">IFERROR(__xludf.DUMMYFUNCTION("""COMPUTED_VALUE"""),"Гимназия 2")</f>
        <v>Гимназия 2</v>
      </c>
      <c r="E374" s="5"/>
      <c r="F374" s="5"/>
      <c r="G374" s="5"/>
      <c r="H374" s="5"/>
      <c r="I374" s="5"/>
      <c r="J374" s="5"/>
      <c r="K374" s="5"/>
      <c r="L374" s="5"/>
      <c r="M374">
        <f ca="1">IFERROR(__xludf.DUMMYFUNCTION("""COMPUTED_VALUE"""),0)</f>
        <v>0</v>
      </c>
      <c r="N374" s="8"/>
    </row>
    <row r="375" spans="1:14" ht="12.45" hidden="1">
      <c r="A375" t="str">
        <f ca="1">IFERROR(__xludf.DUMMYFUNCTION("""COMPUTED_VALUE"""),"III-4-054")</f>
        <v>III-4-054</v>
      </c>
      <c r="B375" t="str">
        <f ca="1">IFERROR(__xludf.DUMMYFUNCTION("""COMPUTED_VALUE"""),"Бойко")</f>
        <v>Бойко</v>
      </c>
      <c r="C375" t="str">
        <f ca="1">IFERROR(__xludf.DUMMYFUNCTION("""COMPUTED_VALUE"""),"Макар")</f>
        <v>Макар</v>
      </c>
      <c r="D375" t="str">
        <f ca="1">IFERROR(__xludf.DUMMYFUNCTION("""COMPUTED_VALUE"""),"Гимназия 524")</f>
        <v>Гимназия 524</v>
      </c>
      <c r="E375" s="5"/>
      <c r="F375" s="5"/>
      <c r="G375" s="5"/>
      <c r="H375" s="5"/>
      <c r="I375" s="5"/>
      <c r="J375" s="5"/>
      <c r="K375" s="5"/>
      <c r="L375" s="5"/>
      <c r="M375">
        <f ca="1">IFERROR(__xludf.DUMMYFUNCTION("""COMPUTED_VALUE"""),0)</f>
        <v>0</v>
      </c>
      <c r="N375" s="8"/>
    </row>
    <row r="376" spans="1:14" ht="12.45" hidden="1">
      <c r="A376" t="str">
        <f ca="1">IFERROR(__xludf.DUMMYFUNCTION("""COMPUTED_VALUE"""),"III-4-059")</f>
        <v>III-4-059</v>
      </c>
      <c r="B376" t="str">
        <f ca="1">IFERROR(__xludf.DUMMYFUNCTION("""COMPUTED_VALUE"""),"Бондаренко")</f>
        <v>Бондаренко</v>
      </c>
      <c r="C376" t="str">
        <f ca="1">IFERROR(__xludf.DUMMYFUNCTION("""COMPUTED_VALUE"""),"Дарья")</f>
        <v>Дарья</v>
      </c>
      <c r="D376" t="str">
        <f ca="1">IFERROR(__xludf.DUMMYFUNCTION("""COMPUTED_VALUE"""),"Школа 619")</f>
        <v>Школа 619</v>
      </c>
      <c r="E376" s="5"/>
      <c r="F376" s="5"/>
      <c r="G376" s="5"/>
      <c r="H376" s="5"/>
      <c r="I376" s="5"/>
      <c r="J376" s="5"/>
      <c r="K376" s="5"/>
      <c r="L376" s="5"/>
      <c r="M376">
        <f ca="1">IFERROR(__xludf.DUMMYFUNCTION("""COMPUTED_VALUE"""),0)</f>
        <v>0</v>
      </c>
      <c r="N376" s="8"/>
    </row>
    <row r="377" spans="1:14" ht="12.45" hidden="1">
      <c r="A377" t="str">
        <f ca="1">IFERROR(__xludf.DUMMYFUNCTION("""COMPUTED_VALUE"""),"III-4-064")</f>
        <v>III-4-064</v>
      </c>
      <c r="B377" t="str">
        <f ca="1">IFERROR(__xludf.DUMMYFUNCTION("""COMPUTED_VALUE"""),"Бортников")</f>
        <v>Бортников</v>
      </c>
      <c r="C377" t="str">
        <f ca="1">IFERROR(__xludf.DUMMYFUNCTION("""COMPUTED_VALUE"""),"Егор")</f>
        <v>Егор</v>
      </c>
      <c r="D377" t="str">
        <f ca="1">IFERROR(__xludf.DUMMYFUNCTION("""COMPUTED_VALUE"""),"Гимназия 157")</f>
        <v>Гимназия 157</v>
      </c>
      <c r="E377" s="5"/>
      <c r="F377" s="5"/>
      <c r="G377" s="5"/>
      <c r="H377" s="5"/>
      <c r="I377" s="5"/>
      <c r="J377" s="5"/>
      <c r="K377" s="5"/>
      <c r="L377" s="5"/>
      <c r="M377">
        <f ca="1">IFERROR(__xludf.DUMMYFUNCTION("""COMPUTED_VALUE"""),0)</f>
        <v>0</v>
      </c>
      <c r="N377" s="8"/>
    </row>
    <row r="378" spans="1:14" ht="12.45" hidden="1">
      <c r="A378" t="str">
        <f ca="1">IFERROR(__xludf.DUMMYFUNCTION("""COMPUTED_VALUE"""),"III-4-072")</f>
        <v>III-4-072</v>
      </c>
      <c r="B378" t="str">
        <f ca="1">IFERROR(__xludf.DUMMYFUNCTION("""COMPUTED_VALUE"""),"Буров")</f>
        <v>Буров</v>
      </c>
      <c r="C378" t="str">
        <f ca="1">IFERROR(__xludf.DUMMYFUNCTION("""COMPUTED_VALUE"""),"Иван")</f>
        <v>Иван</v>
      </c>
      <c r="D378" t="str">
        <f ca="1">IFERROR(__xludf.DUMMYFUNCTION("""COMPUTED_VALUE"""),"Лицей 30")</f>
        <v>Лицей 30</v>
      </c>
      <c r="E378" s="5"/>
      <c r="F378" s="5"/>
      <c r="G378" s="5"/>
      <c r="H378" s="5"/>
      <c r="I378" s="5"/>
      <c r="J378" s="5"/>
      <c r="K378" s="5"/>
      <c r="L378" s="5"/>
      <c r="M378">
        <f ca="1">IFERROR(__xludf.DUMMYFUNCTION("""COMPUTED_VALUE"""),0)</f>
        <v>0</v>
      </c>
      <c r="N378" s="8"/>
    </row>
    <row r="379" spans="1:14" ht="12.45" hidden="1">
      <c r="A379" t="str">
        <f ca="1">IFERROR(__xludf.DUMMYFUNCTION("""COMPUTED_VALUE"""),"III-4-073")</f>
        <v>III-4-073</v>
      </c>
      <c r="B379" t="str">
        <f ca="1">IFERROR(__xludf.DUMMYFUNCTION("""COMPUTED_VALUE"""),"Буруков")</f>
        <v>Буруков</v>
      </c>
      <c r="C379" t="str">
        <f ca="1">IFERROR(__xludf.DUMMYFUNCTION("""COMPUTED_VALUE"""),"Аркадий")</f>
        <v>Аркадий</v>
      </c>
      <c r="D379" t="str">
        <f ca="1">IFERROR(__xludf.DUMMYFUNCTION("""COMPUTED_VALUE"""),"Школа 348")</f>
        <v>Школа 348</v>
      </c>
      <c r="E379" s="5"/>
      <c r="F379" s="5"/>
      <c r="G379" s="5"/>
      <c r="H379" s="5"/>
      <c r="I379" s="5"/>
      <c r="J379" s="5"/>
      <c r="K379" s="5"/>
      <c r="L379" s="5"/>
      <c r="M379">
        <f ca="1">IFERROR(__xludf.DUMMYFUNCTION("""COMPUTED_VALUE"""),0)</f>
        <v>0</v>
      </c>
      <c r="N379" s="8"/>
    </row>
    <row r="380" spans="1:14" ht="12.45" hidden="1">
      <c r="A380" t="str">
        <f ca="1">IFERROR(__xludf.DUMMYFUNCTION("""COMPUTED_VALUE"""),"III-4-074")</f>
        <v>III-4-074</v>
      </c>
      <c r="B380" t="str">
        <f ca="1">IFERROR(__xludf.DUMMYFUNCTION("""COMPUTED_VALUE"""),"Буценко")</f>
        <v>Буценко</v>
      </c>
      <c r="C380" t="str">
        <f ca="1">IFERROR(__xludf.DUMMYFUNCTION("""COMPUTED_VALUE"""),"Ян")</f>
        <v>Ян</v>
      </c>
      <c r="D380" t="str">
        <f ca="1">IFERROR(__xludf.DUMMYFUNCTION("""COMPUTED_VALUE"""),"Лицей 150")</f>
        <v>Лицей 150</v>
      </c>
      <c r="E380" s="5"/>
      <c r="F380" s="5"/>
      <c r="G380" s="5"/>
      <c r="H380" s="5"/>
      <c r="I380" s="5"/>
      <c r="J380" s="5"/>
      <c r="K380" s="5"/>
      <c r="L380" s="5"/>
      <c r="M380">
        <f ca="1">IFERROR(__xludf.DUMMYFUNCTION("""COMPUTED_VALUE"""),0)</f>
        <v>0</v>
      </c>
      <c r="N380" s="8"/>
    </row>
    <row r="381" spans="1:14" ht="12.45" hidden="1">
      <c r="A381" t="str">
        <f ca="1">IFERROR(__xludf.DUMMYFUNCTION("""COMPUTED_VALUE"""),"III-4-079")</f>
        <v>III-4-079</v>
      </c>
      <c r="B381" t="str">
        <f ca="1">IFERROR(__xludf.DUMMYFUNCTION("""COMPUTED_VALUE"""),"Валеева")</f>
        <v>Валеева</v>
      </c>
      <c r="C381" t="str">
        <f ca="1">IFERROR(__xludf.DUMMYFUNCTION("""COMPUTED_VALUE"""),"Рената")</f>
        <v>Рената</v>
      </c>
      <c r="D381" t="str">
        <f ca="1">IFERROR(__xludf.DUMMYFUNCTION("""COMPUTED_VALUE"""),"Лицей 29")</f>
        <v>Лицей 29</v>
      </c>
      <c r="E381" s="5"/>
      <c r="F381" s="5"/>
      <c r="G381" s="5"/>
      <c r="H381" s="5"/>
      <c r="I381" s="5"/>
      <c r="J381" s="5"/>
      <c r="K381" s="5"/>
      <c r="L381" s="5"/>
      <c r="M381">
        <f ca="1">IFERROR(__xludf.DUMMYFUNCTION("""COMPUTED_VALUE"""),0)</f>
        <v>0</v>
      </c>
      <c r="N381" s="8"/>
    </row>
    <row r="382" spans="1:14" ht="12.45" hidden="1">
      <c r="A382" t="str">
        <f ca="1">IFERROR(__xludf.DUMMYFUNCTION("""COMPUTED_VALUE"""),"III-4-083")</f>
        <v>III-4-083</v>
      </c>
      <c r="B382" t="str">
        <f ca="1">IFERROR(__xludf.DUMMYFUNCTION("""COMPUTED_VALUE"""),"Варфоломеев")</f>
        <v>Варфоломеев</v>
      </c>
      <c r="C382" t="str">
        <f ca="1">IFERROR(__xludf.DUMMYFUNCTION("""COMPUTED_VALUE"""),"Максим")</f>
        <v>Максим</v>
      </c>
      <c r="D382" t="str">
        <f ca="1">IFERROR(__xludf.DUMMYFUNCTION("""COMPUTED_VALUE"""),"Гимназия 116")</f>
        <v>Гимназия 116</v>
      </c>
      <c r="E382" s="5"/>
      <c r="F382" s="5"/>
      <c r="G382" s="5"/>
      <c r="H382" s="5"/>
      <c r="I382" s="5"/>
      <c r="J382" s="5"/>
      <c r="K382" s="5"/>
      <c r="L382" s="5"/>
      <c r="M382">
        <f ca="1">IFERROR(__xludf.DUMMYFUNCTION("""COMPUTED_VALUE"""),0)</f>
        <v>0</v>
      </c>
      <c r="N382" s="8"/>
    </row>
    <row r="383" spans="1:14" ht="12.45" hidden="1">
      <c r="A383" t="str">
        <f ca="1">IFERROR(__xludf.DUMMYFUNCTION("""COMPUTED_VALUE"""),"III-4-087")</f>
        <v>III-4-087</v>
      </c>
      <c r="B383" t="str">
        <f ca="1">IFERROR(__xludf.DUMMYFUNCTION("""COMPUTED_VALUE"""),"Васильева")</f>
        <v>Васильева</v>
      </c>
      <c r="C383" t="str">
        <f ca="1">IFERROR(__xludf.DUMMYFUNCTION("""COMPUTED_VALUE"""),"Анна")</f>
        <v>Анна</v>
      </c>
      <c r="D383" t="str">
        <f ca="1">IFERROR(__xludf.DUMMYFUNCTION("""COMPUTED_VALUE"""),"Гимназия 248")</f>
        <v>Гимназия 248</v>
      </c>
      <c r="E383" s="5"/>
      <c r="F383" s="5"/>
      <c r="G383" s="5"/>
      <c r="H383" s="5"/>
      <c r="I383" s="5"/>
      <c r="J383" s="5"/>
      <c r="K383" s="5"/>
      <c r="L383" s="5"/>
      <c r="M383">
        <f ca="1">IFERROR(__xludf.DUMMYFUNCTION("""COMPUTED_VALUE"""),0)</f>
        <v>0</v>
      </c>
      <c r="N383" s="8"/>
    </row>
    <row r="384" spans="1:14" ht="12.45" hidden="1">
      <c r="A384" t="str">
        <f ca="1">IFERROR(__xludf.DUMMYFUNCTION("""COMPUTED_VALUE"""),"III-4-089")</f>
        <v>III-4-089</v>
      </c>
      <c r="B384" t="str">
        <f ca="1">IFERROR(__xludf.DUMMYFUNCTION("""COMPUTED_VALUE"""),"Вахранёв")</f>
        <v>Вахранёв</v>
      </c>
      <c r="C384" t="str">
        <f ca="1">IFERROR(__xludf.DUMMYFUNCTION("""COMPUTED_VALUE"""),"Андрей")</f>
        <v>Андрей</v>
      </c>
      <c r="D384" t="str">
        <f ca="1">IFERROR(__xludf.DUMMYFUNCTION("""COMPUTED_VALUE"""),"Лицей 29")</f>
        <v>Лицей 29</v>
      </c>
      <c r="E384" s="5"/>
      <c r="F384" s="5"/>
      <c r="G384" s="5"/>
      <c r="H384" s="5"/>
      <c r="I384" s="5"/>
      <c r="J384" s="5"/>
      <c r="K384" s="5"/>
      <c r="L384" s="5"/>
      <c r="M384">
        <f ca="1">IFERROR(__xludf.DUMMYFUNCTION("""COMPUTED_VALUE"""),0)</f>
        <v>0</v>
      </c>
      <c r="N384" s="8"/>
    </row>
    <row r="385" spans="1:14" ht="12.45" hidden="1">
      <c r="A385" t="str">
        <f ca="1">IFERROR(__xludf.DUMMYFUNCTION("""COMPUTED_VALUE"""),"III-4-001")</f>
        <v>III-4-001</v>
      </c>
      <c r="B385" t="str">
        <f ca="1">IFERROR(__xludf.DUMMYFUNCTION("""COMPUTED_VALUE"""),"Coфья")</f>
        <v>Coфья</v>
      </c>
      <c r="C385" t="str">
        <f ca="1">IFERROR(__xludf.DUMMYFUNCTION("""COMPUTED_VALUE"""),"Манукян")</f>
        <v>Манукян</v>
      </c>
      <c r="D385" t="str">
        <f ca="1">IFERROR(__xludf.DUMMYFUNCTION("""COMPUTED_VALUE"""),"Школа Квадривиум")</f>
        <v>Школа Квадривиум</v>
      </c>
      <c r="E385" s="5"/>
      <c r="F385" s="5"/>
      <c r="G385" s="5"/>
      <c r="H385" s="5"/>
      <c r="I385" s="5"/>
      <c r="J385" s="5"/>
      <c r="K385" s="5"/>
      <c r="L385" s="5"/>
      <c r="M385">
        <f ca="1">IFERROR(__xludf.DUMMYFUNCTION("""COMPUTED_VALUE"""),0)</f>
        <v>0</v>
      </c>
      <c r="N385" s="8"/>
    </row>
    <row r="386" spans="1:14" ht="12.45" hidden="1">
      <c r="A386" t="str">
        <f ca="1">IFERROR(__xludf.DUMMYFUNCTION("""COMPUTED_VALUE"""),"III-4-090")</f>
        <v>III-4-090</v>
      </c>
      <c r="B386" t="str">
        <f ca="1">IFERROR(__xludf.DUMMYFUNCTION("""COMPUTED_VALUE"""),"Вашкевич")</f>
        <v>Вашкевич</v>
      </c>
      <c r="C386" t="str">
        <f ca="1">IFERROR(__xludf.DUMMYFUNCTION("""COMPUTED_VALUE"""),"Дмитрий")</f>
        <v>Дмитрий</v>
      </c>
      <c r="D386" t="str">
        <f ca="1">IFERROR(__xludf.DUMMYFUNCTION("""COMPUTED_VALUE"""),"Гимназия 652")</f>
        <v>Гимназия 652</v>
      </c>
      <c r="E386" s="5"/>
      <c r="F386" s="5"/>
      <c r="G386" s="5"/>
      <c r="H386" s="5"/>
      <c r="I386" s="5"/>
      <c r="J386" s="5"/>
      <c r="K386" s="5"/>
      <c r="L386" s="5"/>
      <c r="M386">
        <f ca="1">IFERROR(__xludf.DUMMYFUNCTION("""COMPUTED_VALUE"""),0)</f>
        <v>0</v>
      </c>
      <c r="N386" s="8"/>
    </row>
    <row r="387" spans="1:14" ht="12.45" hidden="1">
      <c r="A387" t="str">
        <f ca="1">IFERROR(__xludf.DUMMYFUNCTION("""COMPUTED_VALUE"""),"III-4-092")</f>
        <v>III-4-092</v>
      </c>
      <c r="B387" t="str">
        <f ca="1">IFERROR(__xludf.DUMMYFUNCTION("""COMPUTED_VALUE"""),"Великович")</f>
        <v>Великович</v>
      </c>
      <c r="C387" t="str">
        <f ca="1">IFERROR(__xludf.DUMMYFUNCTION("""COMPUTED_VALUE"""),"Роман")</f>
        <v>Роман</v>
      </c>
      <c r="D387" t="str">
        <f ca="1">IFERROR(__xludf.DUMMYFUNCTION("""COMPUTED_VALUE"""),"Гимназия 11")</f>
        <v>Гимназия 11</v>
      </c>
      <c r="E387" s="5">
        <f ca="1">IFERROR(__xludf.DUMMYFUNCTION("""COMPUTED_VALUE"""),0)</f>
        <v>0</v>
      </c>
      <c r="F387" s="5"/>
      <c r="G387" s="5"/>
      <c r="H387" s="5"/>
      <c r="I387" s="5"/>
      <c r="J387" s="5"/>
      <c r="K387" s="5"/>
      <c r="L387" s="5"/>
      <c r="M387">
        <f ca="1">IFERROR(__xludf.DUMMYFUNCTION("""COMPUTED_VALUE"""),0)</f>
        <v>0</v>
      </c>
      <c r="N387" s="8"/>
    </row>
    <row r="388" spans="1:14" ht="12.45" hidden="1">
      <c r="A388" t="str">
        <f ca="1">IFERROR(__xludf.DUMMYFUNCTION("""COMPUTED_VALUE"""),"III-4-142")</f>
        <v>III-4-142</v>
      </c>
      <c r="B388" t="str">
        <f ca="1">IFERROR(__xludf.DUMMYFUNCTION("""COMPUTED_VALUE"""),"Давыдов")</f>
        <v>Давыдов</v>
      </c>
      <c r="C388" t="str">
        <f ca="1">IFERROR(__xludf.DUMMYFUNCTION("""COMPUTED_VALUE"""),"Павел")</f>
        <v>Павел</v>
      </c>
      <c r="D388" t="str">
        <f ca="1">IFERROR(__xludf.DUMMYFUNCTION("""COMPUTED_VALUE"""),"Гимназия Гимназия 1 имени Владимира Ильича Ленина")</f>
        <v>Гимназия Гимназия 1 имени Владимира Ильича Ленина</v>
      </c>
      <c r="E388" s="5">
        <f ca="1">IFERROR(__xludf.DUMMYFUNCTION("""COMPUTED_VALUE"""),0)</f>
        <v>0</v>
      </c>
      <c r="F388" s="5"/>
      <c r="G388" s="5"/>
      <c r="H388" s="5"/>
      <c r="I388" s="5"/>
      <c r="J388" s="5"/>
      <c r="K388" s="5"/>
      <c r="L388" s="5"/>
      <c r="M388">
        <f ca="1">IFERROR(__xludf.DUMMYFUNCTION("""COMPUTED_VALUE"""),0)</f>
        <v>0</v>
      </c>
      <c r="N388" s="8"/>
    </row>
    <row r="389" spans="1:14" ht="12.45" hidden="1">
      <c r="A389" t="str">
        <f ca="1">IFERROR(__xludf.DUMMYFUNCTION("""COMPUTED_VALUE"""),"III-4-095")</f>
        <v>III-4-095</v>
      </c>
      <c r="B389" t="str">
        <f ca="1">IFERROR(__xludf.DUMMYFUNCTION("""COMPUTED_VALUE"""),"Визгалов")</f>
        <v>Визгалов</v>
      </c>
      <c r="C389" t="str">
        <f ca="1">IFERROR(__xludf.DUMMYFUNCTION("""COMPUTED_VALUE"""),"Вадим")</f>
        <v>Вадим</v>
      </c>
      <c r="D389" t="str">
        <f ca="1">IFERROR(__xludf.DUMMYFUNCTION("""COMPUTED_VALUE"""),"Школа 589")</f>
        <v>Школа 589</v>
      </c>
      <c r="E389" s="5"/>
      <c r="F389" s="5"/>
      <c r="G389" s="5"/>
      <c r="H389" s="5"/>
      <c r="I389" s="5"/>
      <c r="J389" s="5"/>
      <c r="K389" s="5"/>
      <c r="L389" s="5"/>
      <c r="M389">
        <f ca="1">IFERROR(__xludf.DUMMYFUNCTION("""COMPUTED_VALUE"""),0)</f>
        <v>0</v>
      </c>
      <c r="N389" s="8"/>
    </row>
    <row r="390" spans="1:14" ht="12.45" hidden="1">
      <c r="A390" t="str">
        <f ca="1">IFERROR(__xludf.DUMMYFUNCTION("""COMPUTED_VALUE"""),"III-4-099")</f>
        <v>III-4-099</v>
      </c>
      <c r="B390" t="str">
        <f ca="1">IFERROR(__xludf.DUMMYFUNCTION("""COMPUTED_VALUE"""),"Вишневский")</f>
        <v>Вишневский</v>
      </c>
      <c r="C390" t="str">
        <f ca="1">IFERROR(__xludf.DUMMYFUNCTION("""COMPUTED_VALUE"""),"Олег")</f>
        <v>Олег</v>
      </c>
      <c r="D390" t="str">
        <f ca="1">IFERROR(__xludf.DUMMYFUNCTION("""COMPUTED_VALUE"""),"Школа 625")</f>
        <v>Школа 625</v>
      </c>
      <c r="E390" s="5"/>
      <c r="F390" s="5"/>
      <c r="G390" s="5"/>
      <c r="H390" s="5"/>
      <c r="I390" s="5"/>
      <c r="J390" s="5"/>
      <c r="K390" s="5"/>
      <c r="L390" s="5"/>
      <c r="M390">
        <f ca="1">IFERROR(__xludf.DUMMYFUNCTION("""COMPUTED_VALUE"""),0)</f>
        <v>0</v>
      </c>
      <c r="N390" s="8"/>
    </row>
    <row r="391" spans="1:14" ht="12.45" hidden="1">
      <c r="A391" t="str">
        <f ca="1">IFERROR(__xludf.DUMMYFUNCTION("""COMPUTED_VALUE"""),"III-4-100")</f>
        <v>III-4-100</v>
      </c>
      <c r="B391" t="str">
        <f ca="1">IFERROR(__xludf.DUMMYFUNCTION("""COMPUTED_VALUE"""),"Власко")</f>
        <v>Власко</v>
      </c>
      <c r="C391" t="str">
        <f ca="1">IFERROR(__xludf.DUMMYFUNCTION("""COMPUTED_VALUE"""),"Дарья")</f>
        <v>Дарья</v>
      </c>
      <c r="D391" t="str">
        <f ca="1">IFERROR(__xludf.DUMMYFUNCTION("""COMPUTED_VALUE"""),"Гимназия 107")</f>
        <v>Гимназия 107</v>
      </c>
      <c r="E391" s="5"/>
      <c r="F391" s="5"/>
      <c r="G391" s="5"/>
      <c r="H391" s="5"/>
      <c r="I391" s="5"/>
      <c r="J391" s="5"/>
      <c r="K391" s="5"/>
      <c r="L391" s="5"/>
      <c r="M391">
        <f ca="1">IFERROR(__xludf.DUMMYFUNCTION("""COMPUTED_VALUE"""),0)</f>
        <v>0</v>
      </c>
      <c r="N391" s="8"/>
    </row>
    <row r="392" spans="1:14" ht="12.45" hidden="1">
      <c r="A392" t="str">
        <f ca="1">IFERROR(__xludf.DUMMYFUNCTION("""COMPUTED_VALUE"""),"III-4-106")</f>
        <v>III-4-106</v>
      </c>
      <c r="B392" t="str">
        <f ca="1">IFERROR(__xludf.DUMMYFUNCTION("""COMPUTED_VALUE"""),"Воронов")</f>
        <v>Воронов</v>
      </c>
      <c r="C392" t="str">
        <f ca="1">IFERROR(__xludf.DUMMYFUNCTION("""COMPUTED_VALUE"""),"Денис")</f>
        <v>Денис</v>
      </c>
      <c r="D392" t="str">
        <f ca="1">IFERROR(__xludf.DUMMYFUNCTION("""COMPUTED_VALUE"""),"Школа 458")</f>
        <v>Школа 458</v>
      </c>
      <c r="E392" s="5"/>
      <c r="F392" s="5"/>
      <c r="G392" s="5"/>
      <c r="H392" s="5"/>
      <c r="I392" s="5"/>
      <c r="J392" s="5"/>
      <c r="K392" s="5"/>
      <c r="L392" s="5"/>
      <c r="M392">
        <f ca="1">IFERROR(__xludf.DUMMYFUNCTION("""COMPUTED_VALUE"""),0)</f>
        <v>0</v>
      </c>
      <c r="N392" s="8"/>
    </row>
    <row r="393" spans="1:14" ht="12.45" hidden="1">
      <c r="A393" t="str">
        <f ca="1">IFERROR(__xludf.DUMMYFUNCTION("""COMPUTED_VALUE"""),"III-4-111")</f>
        <v>III-4-111</v>
      </c>
      <c r="B393" t="str">
        <f ca="1">IFERROR(__xludf.DUMMYFUNCTION("""COMPUTED_VALUE"""),"Гавришев")</f>
        <v>Гавришев</v>
      </c>
      <c r="C393" t="str">
        <f ca="1">IFERROR(__xludf.DUMMYFUNCTION("""COMPUTED_VALUE"""),"Виктор")</f>
        <v>Виктор</v>
      </c>
      <c r="D393" t="str">
        <f ca="1">IFERROR(__xludf.DUMMYFUNCTION("""COMPUTED_VALUE"""),"Школа 233")</f>
        <v>Школа 233</v>
      </c>
      <c r="E393" s="5"/>
      <c r="F393" s="5"/>
      <c r="G393" s="5"/>
      <c r="H393" s="5"/>
      <c r="I393" s="5"/>
      <c r="J393" s="5"/>
      <c r="K393" s="5"/>
      <c r="L393" s="5"/>
      <c r="M393">
        <f ca="1">IFERROR(__xludf.DUMMYFUNCTION("""COMPUTED_VALUE"""),0)</f>
        <v>0</v>
      </c>
      <c r="N393" s="8"/>
    </row>
    <row r="394" spans="1:14" ht="12.45" hidden="1">
      <c r="A394" t="str">
        <f ca="1">IFERROR(__xludf.DUMMYFUNCTION("""COMPUTED_VALUE"""),"III-4-115")</f>
        <v>III-4-115</v>
      </c>
      <c r="B394" t="str">
        <f ca="1">IFERROR(__xludf.DUMMYFUNCTION("""COMPUTED_VALUE"""),"Ганжа")</f>
        <v>Ганжа</v>
      </c>
      <c r="C394" t="str">
        <f ca="1">IFERROR(__xludf.DUMMYFUNCTION("""COMPUTED_VALUE"""),"Мария")</f>
        <v>Мария</v>
      </c>
      <c r="D394" t="str">
        <f ca="1">IFERROR(__xludf.DUMMYFUNCTION("""COMPUTED_VALUE"""),"Лицей 41")</f>
        <v>Лицей 41</v>
      </c>
      <c r="E394" s="5"/>
      <c r="F394" s="5"/>
      <c r="G394" s="5"/>
      <c r="H394" s="5"/>
      <c r="I394" s="5"/>
      <c r="J394" s="5"/>
      <c r="K394" s="5"/>
      <c r="L394" s="5"/>
      <c r="M394">
        <f ca="1">IFERROR(__xludf.DUMMYFUNCTION("""COMPUTED_VALUE"""),0)</f>
        <v>0</v>
      </c>
      <c r="N394" s="8"/>
    </row>
    <row r="395" spans="1:14" ht="12.45" hidden="1">
      <c r="A395" t="str">
        <f ca="1">IFERROR(__xludf.DUMMYFUNCTION("""COMPUTED_VALUE"""),"III-4-117")</f>
        <v>III-4-117</v>
      </c>
      <c r="B395" t="str">
        <f ca="1">IFERROR(__xludf.DUMMYFUNCTION("""COMPUTED_VALUE"""),"Герасимова")</f>
        <v>Герасимова</v>
      </c>
      <c r="C395" t="str">
        <f ca="1">IFERROR(__xludf.DUMMYFUNCTION("""COMPUTED_VALUE"""),"Ульяна")</f>
        <v>Ульяна</v>
      </c>
      <c r="D395" t="str">
        <f ca="1">IFERROR(__xludf.DUMMYFUNCTION("""COMPUTED_VALUE"""),"Школа 246")</f>
        <v>Школа 246</v>
      </c>
      <c r="E395" s="5"/>
      <c r="F395" s="5"/>
      <c r="G395" s="5"/>
      <c r="H395" s="5"/>
      <c r="I395" s="5"/>
      <c r="J395" s="5"/>
      <c r="K395" s="5"/>
      <c r="L395" s="5"/>
      <c r="M395">
        <f ca="1">IFERROR(__xludf.DUMMYFUNCTION("""COMPUTED_VALUE"""),0)</f>
        <v>0</v>
      </c>
      <c r="N395" s="8"/>
    </row>
    <row r="396" spans="1:14" ht="12.45" hidden="1">
      <c r="A396" t="str">
        <f ca="1">IFERROR(__xludf.DUMMYFUNCTION("""COMPUTED_VALUE"""),"III-4-119")</f>
        <v>III-4-119</v>
      </c>
      <c r="B396" t="str">
        <f ca="1">IFERROR(__xludf.DUMMYFUNCTION("""COMPUTED_VALUE"""),"Гирфанов")</f>
        <v>Гирфанов</v>
      </c>
      <c r="C396" t="str">
        <f ca="1">IFERROR(__xludf.DUMMYFUNCTION("""COMPUTED_VALUE"""),"Вячеслав")</f>
        <v>Вячеслав</v>
      </c>
      <c r="D396" t="str">
        <f ca="1">IFERROR(__xludf.DUMMYFUNCTION("""COMPUTED_VALUE"""),"Школа 489")</f>
        <v>Школа 489</v>
      </c>
      <c r="E396" s="5"/>
      <c r="F396" s="5"/>
      <c r="G396" s="5"/>
      <c r="H396" s="5"/>
      <c r="I396" s="5"/>
      <c r="J396" s="5"/>
      <c r="K396" s="5"/>
      <c r="L396" s="5"/>
      <c r="M396">
        <f ca="1">IFERROR(__xludf.DUMMYFUNCTION("""COMPUTED_VALUE"""),0)</f>
        <v>0</v>
      </c>
      <c r="N396" s="8"/>
    </row>
    <row r="397" spans="1:14" ht="12.45" hidden="1">
      <c r="A397" t="str">
        <f ca="1">IFERROR(__xludf.DUMMYFUNCTION("""COMPUTED_VALUE"""),"III-4-120")</f>
        <v>III-4-120</v>
      </c>
      <c r="B397" t="str">
        <f ca="1">IFERROR(__xludf.DUMMYFUNCTION("""COMPUTED_VALUE"""),"Гладков")</f>
        <v>Гладков</v>
      </c>
      <c r="C397" t="str">
        <f ca="1">IFERROR(__xludf.DUMMYFUNCTION("""COMPUTED_VALUE"""),"Вячеслав")</f>
        <v>Вячеслав</v>
      </c>
      <c r="D397" t="str">
        <f ca="1">IFERROR(__xludf.DUMMYFUNCTION("""COMPUTED_VALUE"""),"Школа 642")</f>
        <v>Школа 642</v>
      </c>
      <c r="E397" s="5"/>
      <c r="F397" s="5"/>
      <c r="G397" s="5"/>
      <c r="H397" s="5"/>
      <c r="I397" s="5"/>
      <c r="J397" s="5"/>
      <c r="K397" s="5"/>
      <c r="L397" s="5"/>
      <c r="M397">
        <f ca="1">IFERROR(__xludf.DUMMYFUNCTION("""COMPUTED_VALUE"""),0)</f>
        <v>0</v>
      </c>
      <c r="N397" s="8"/>
    </row>
    <row r="398" spans="1:14" ht="12.45" hidden="1">
      <c r="A398" t="str">
        <f ca="1">IFERROR(__xludf.DUMMYFUNCTION("""COMPUTED_VALUE"""),"III-4-121")</f>
        <v>III-4-121</v>
      </c>
      <c r="B398" t="str">
        <f ca="1">IFERROR(__xludf.DUMMYFUNCTION("""COMPUTED_VALUE"""),"Глазырин")</f>
        <v>Глазырин</v>
      </c>
      <c r="C398" t="str">
        <f ca="1">IFERROR(__xludf.DUMMYFUNCTION("""COMPUTED_VALUE"""),"Степан")</f>
        <v>Степан</v>
      </c>
      <c r="D398" t="str">
        <f ca="1">IFERROR(__xludf.DUMMYFUNCTION("""COMPUTED_VALUE"""),"Лицей 41")</f>
        <v>Лицей 41</v>
      </c>
      <c r="E398" s="5"/>
      <c r="F398" s="5"/>
      <c r="G398" s="5"/>
      <c r="H398" s="5"/>
      <c r="I398" s="5"/>
      <c r="J398" s="5"/>
      <c r="K398" s="5"/>
      <c r="L398" s="5"/>
      <c r="M398">
        <f ca="1">IFERROR(__xludf.DUMMYFUNCTION("""COMPUTED_VALUE"""),0)</f>
        <v>0</v>
      </c>
      <c r="N398" s="8"/>
    </row>
    <row r="399" spans="1:14" ht="12.45" hidden="1">
      <c r="A399" t="str">
        <f ca="1">IFERROR(__xludf.DUMMYFUNCTION("""COMPUTED_VALUE"""),"III-4-123")</f>
        <v>III-4-123</v>
      </c>
      <c r="B399" t="str">
        <f ca="1">IFERROR(__xludf.DUMMYFUNCTION("""COMPUTED_VALUE"""),"Глущенко")</f>
        <v>Глущенко</v>
      </c>
      <c r="C399" t="str">
        <f ca="1">IFERROR(__xludf.DUMMYFUNCTION("""COMPUTED_VALUE"""),"Александр")</f>
        <v>Александр</v>
      </c>
      <c r="D399" t="str">
        <f ca="1">IFERROR(__xludf.DUMMYFUNCTION("""COMPUTED_VALUE"""),"Гимназия 642")</f>
        <v>Гимназия 642</v>
      </c>
      <c r="E399" s="5"/>
      <c r="F399" s="5"/>
      <c r="G399" s="5"/>
      <c r="H399" s="5"/>
      <c r="I399" s="5"/>
      <c r="J399" s="5"/>
      <c r="K399" s="5"/>
      <c r="L399" s="5"/>
      <c r="M399">
        <f ca="1">IFERROR(__xludf.DUMMYFUNCTION("""COMPUTED_VALUE"""),0)</f>
        <v>0</v>
      </c>
      <c r="N399" s="8"/>
    </row>
    <row r="400" spans="1:14" ht="12.45" hidden="1">
      <c r="A400" t="str">
        <f ca="1">IFERROR(__xludf.DUMMYFUNCTION("""COMPUTED_VALUE"""),"III-4-124")</f>
        <v>III-4-124</v>
      </c>
      <c r="B400" t="str">
        <f ca="1">IFERROR(__xludf.DUMMYFUNCTION("""COMPUTED_VALUE"""),"Гольдштейн")</f>
        <v>Гольдштейн</v>
      </c>
      <c r="C400" t="str">
        <f ca="1">IFERROR(__xludf.DUMMYFUNCTION("""COMPUTED_VALUE"""),"Лев")</f>
        <v>Лев</v>
      </c>
      <c r="D400" t="str">
        <f ca="1">IFERROR(__xludf.DUMMYFUNCTION("""COMPUTED_VALUE"""),"Школа Англоамериканская школа")</f>
        <v>Школа Англоамериканская школа</v>
      </c>
      <c r="E400" s="5"/>
      <c r="F400" s="5"/>
      <c r="G400" s="5"/>
      <c r="H400" s="5"/>
      <c r="I400" s="5"/>
      <c r="J400" s="5"/>
      <c r="K400" s="5"/>
      <c r="L400" s="5"/>
      <c r="M400">
        <f ca="1">IFERROR(__xludf.DUMMYFUNCTION("""COMPUTED_VALUE"""),0)</f>
        <v>0</v>
      </c>
      <c r="N400" s="8"/>
    </row>
    <row r="401" spans="1:14" ht="12.45" hidden="1">
      <c r="A401" t="str">
        <f ca="1">IFERROR(__xludf.DUMMYFUNCTION("""COMPUTED_VALUE"""),"III-4-126")</f>
        <v>III-4-126</v>
      </c>
      <c r="B401" t="str">
        <f ca="1">IFERROR(__xludf.DUMMYFUNCTION("""COMPUTED_VALUE"""),"Горбунов")</f>
        <v>Горбунов</v>
      </c>
      <c r="C401" t="str">
        <f ca="1">IFERROR(__xludf.DUMMYFUNCTION("""COMPUTED_VALUE"""),"Фёдор")</f>
        <v>Фёдор</v>
      </c>
      <c r="D401" t="str">
        <f ca="1">IFERROR(__xludf.DUMMYFUNCTION("""COMPUTED_VALUE"""),"Гимназия 406")</f>
        <v>Гимназия 406</v>
      </c>
      <c r="E401" s="5"/>
      <c r="F401" s="5"/>
      <c r="G401" s="5"/>
      <c r="H401" s="5"/>
      <c r="I401" s="5"/>
      <c r="J401" s="5"/>
      <c r="K401" s="5"/>
      <c r="L401" s="5"/>
      <c r="M401">
        <f ca="1">IFERROR(__xludf.DUMMYFUNCTION("""COMPUTED_VALUE"""),0)</f>
        <v>0</v>
      </c>
      <c r="N401" s="8"/>
    </row>
    <row r="402" spans="1:14" ht="12.45" hidden="1">
      <c r="A402" t="str">
        <f ca="1">IFERROR(__xludf.DUMMYFUNCTION("""COMPUTED_VALUE"""),"III-4-127")</f>
        <v>III-4-127</v>
      </c>
      <c r="B402" t="str">
        <f ca="1">IFERROR(__xludf.DUMMYFUNCTION("""COMPUTED_VALUE"""),"Гордеев")</f>
        <v>Гордеев</v>
      </c>
      <c r="C402" t="str">
        <f ca="1">IFERROR(__xludf.DUMMYFUNCTION("""COMPUTED_VALUE"""),"Сергей")</f>
        <v>Сергей</v>
      </c>
      <c r="D402" t="str">
        <f ca="1">IFERROR(__xludf.DUMMYFUNCTION("""COMPUTED_VALUE"""),"Школа 246")</f>
        <v>Школа 246</v>
      </c>
      <c r="E402" s="5"/>
      <c r="F402" s="5"/>
      <c r="G402" s="5"/>
      <c r="H402" s="5"/>
      <c r="I402" s="5"/>
      <c r="J402" s="5"/>
      <c r="K402" s="5"/>
      <c r="L402" s="5"/>
      <c r="M402">
        <f ca="1">IFERROR(__xludf.DUMMYFUNCTION("""COMPUTED_VALUE"""),0)</f>
        <v>0</v>
      </c>
      <c r="N402" s="8"/>
    </row>
    <row r="403" spans="1:14" ht="12.45" hidden="1">
      <c r="A403" t="str">
        <f ca="1">IFERROR(__xludf.DUMMYFUNCTION("""COMPUTED_VALUE"""),"III-4-132")</f>
        <v>III-4-132</v>
      </c>
      <c r="B403" t="str">
        <f ca="1">IFERROR(__xludf.DUMMYFUNCTION("""COMPUTED_VALUE"""),"Грачева")</f>
        <v>Грачева</v>
      </c>
      <c r="C403" t="str">
        <f ca="1">IFERROR(__xludf.DUMMYFUNCTION("""COMPUTED_VALUE"""),"Анфиса")</f>
        <v>Анфиса</v>
      </c>
      <c r="D403" t="str">
        <f ca="1">IFERROR(__xludf.DUMMYFUNCTION("""COMPUTED_VALUE"""),"Лицей 273")</f>
        <v>Лицей 273</v>
      </c>
      <c r="E403" s="5"/>
      <c r="F403" s="5"/>
      <c r="G403" s="5"/>
      <c r="H403" s="5"/>
      <c r="I403" s="5"/>
      <c r="J403" s="5"/>
      <c r="K403" s="5"/>
      <c r="L403" s="5"/>
      <c r="M403">
        <f ca="1">IFERROR(__xludf.DUMMYFUNCTION("""COMPUTED_VALUE"""),0)</f>
        <v>0</v>
      </c>
      <c r="N403" s="8"/>
    </row>
    <row r="404" spans="1:14" ht="12.45" hidden="1">
      <c r="A404" t="str">
        <f ca="1">IFERROR(__xludf.DUMMYFUNCTION("""COMPUTED_VALUE"""),"III-4-144")</f>
        <v>III-4-144</v>
      </c>
      <c r="B404" t="str">
        <f ca="1">IFERROR(__xludf.DUMMYFUNCTION("""COMPUTED_VALUE"""),"Данилов")</f>
        <v>Данилов</v>
      </c>
      <c r="C404" t="str">
        <f ca="1">IFERROR(__xludf.DUMMYFUNCTION("""COMPUTED_VALUE"""),"Дмитрий")</f>
        <v>Дмитрий</v>
      </c>
      <c r="D404" t="str">
        <f ca="1">IFERROR(__xludf.DUMMYFUNCTION("""COMPUTED_VALUE"""),"Школа 636")</f>
        <v>Школа 636</v>
      </c>
      <c r="E404" s="5"/>
      <c r="F404" s="5"/>
      <c r="G404" s="5"/>
      <c r="H404" s="5"/>
      <c r="I404" s="5"/>
      <c r="J404" s="5"/>
      <c r="K404" s="5"/>
      <c r="L404" s="5"/>
      <c r="M404">
        <f ca="1">IFERROR(__xludf.DUMMYFUNCTION("""COMPUTED_VALUE"""),0)</f>
        <v>0</v>
      </c>
      <c r="N404" s="8"/>
    </row>
    <row r="405" spans="1:14" ht="12.45" hidden="1">
      <c r="A405" t="str">
        <f ca="1">IFERROR(__xludf.DUMMYFUNCTION("""COMPUTED_VALUE"""),"III-4-148")</f>
        <v>III-4-148</v>
      </c>
      <c r="B405" t="str">
        <f ca="1">IFERROR(__xludf.DUMMYFUNCTION("""COMPUTED_VALUE"""),"Девятых")</f>
        <v>Девятых</v>
      </c>
      <c r="C405" t="str">
        <f ca="1">IFERROR(__xludf.DUMMYFUNCTION("""COMPUTED_VALUE"""),"Арсений")</f>
        <v>Арсений</v>
      </c>
      <c r="D405" t="str">
        <f ca="1">IFERROR(__xludf.DUMMYFUNCTION("""COMPUTED_VALUE"""),"Лицей 41")</f>
        <v>Лицей 41</v>
      </c>
      <c r="E405" s="5"/>
      <c r="F405" s="5"/>
      <c r="G405" s="5"/>
      <c r="H405" s="5"/>
      <c r="I405" s="5"/>
      <c r="J405" s="5"/>
      <c r="K405" s="5"/>
      <c r="L405" s="5"/>
      <c r="M405">
        <f ca="1">IFERROR(__xludf.DUMMYFUNCTION("""COMPUTED_VALUE"""),0)</f>
        <v>0</v>
      </c>
      <c r="N405" s="8"/>
    </row>
    <row r="406" spans="1:14" ht="12.45" hidden="1">
      <c r="A406" t="str">
        <f ca="1">IFERROR(__xludf.DUMMYFUNCTION("""COMPUTED_VALUE"""),"III-4-153")</f>
        <v>III-4-153</v>
      </c>
      <c r="B406" t="str">
        <f ca="1">IFERROR(__xludf.DUMMYFUNCTION("""COMPUTED_VALUE"""),"Демьянюк")</f>
        <v>Демьянюк</v>
      </c>
      <c r="C406" t="str">
        <f ca="1">IFERROR(__xludf.DUMMYFUNCTION("""COMPUTED_VALUE"""),"Станислав")</f>
        <v>Станислав</v>
      </c>
      <c r="D406" t="str">
        <f ca="1">IFERROR(__xludf.DUMMYFUNCTION("""COMPUTED_VALUE"""),"Школа 457")</f>
        <v>Школа 457</v>
      </c>
      <c r="E406" s="5"/>
      <c r="F406" s="5"/>
      <c r="G406" s="5"/>
      <c r="H406" s="5"/>
      <c r="I406" s="5"/>
      <c r="J406" s="5"/>
      <c r="K406" s="5"/>
      <c r="L406" s="5"/>
      <c r="M406">
        <f ca="1">IFERROR(__xludf.DUMMYFUNCTION("""COMPUTED_VALUE"""),0)</f>
        <v>0</v>
      </c>
      <c r="N406" s="8"/>
    </row>
    <row r="407" spans="1:14" ht="12.45" hidden="1">
      <c r="A407" t="str">
        <f ca="1">IFERROR(__xludf.DUMMYFUNCTION("""COMPUTED_VALUE"""),"III-4-158")</f>
        <v>III-4-158</v>
      </c>
      <c r="B407" t="str">
        <f ca="1">IFERROR(__xludf.DUMMYFUNCTION("""COMPUTED_VALUE"""),"Досманова")</f>
        <v>Досманова</v>
      </c>
      <c r="C407" t="str">
        <f ca="1">IFERROR(__xludf.DUMMYFUNCTION("""COMPUTED_VALUE"""),"Дарья")</f>
        <v>Дарья</v>
      </c>
      <c r="D407" t="str">
        <f ca="1">IFERROR(__xludf.DUMMYFUNCTION("""COMPUTED_VALUE"""),"Лицей 344")</f>
        <v>Лицей 344</v>
      </c>
      <c r="E407" s="5"/>
      <c r="F407" s="5"/>
      <c r="G407" s="5">
        <f ca="1">IFERROR(__xludf.DUMMYFUNCTION("""COMPUTED_VALUE"""),0)</f>
        <v>0</v>
      </c>
      <c r="H407" s="5"/>
      <c r="I407" s="5"/>
      <c r="J407" s="5"/>
      <c r="K407" s="5"/>
      <c r="L407" s="5"/>
      <c r="M407">
        <f ca="1">IFERROR(__xludf.DUMMYFUNCTION("""COMPUTED_VALUE"""),0)</f>
        <v>0</v>
      </c>
      <c r="N407" s="8"/>
    </row>
    <row r="408" spans="1:14" ht="12.45" hidden="1">
      <c r="A408" t="str">
        <f ca="1">IFERROR(__xludf.DUMMYFUNCTION("""COMPUTED_VALUE"""),"III-4-159")</f>
        <v>III-4-159</v>
      </c>
      <c r="B408" t="str">
        <f ca="1">IFERROR(__xludf.DUMMYFUNCTION("""COMPUTED_VALUE"""),"Дружининская")</f>
        <v>Дружининская</v>
      </c>
      <c r="C408" t="str">
        <f ca="1">IFERROR(__xludf.DUMMYFUNCTION("""COMPUTED_VALUE"""),"Татьяна")</f>
        <v>Татьяна</v>
      </c>
      <c r="D408" t="str">
        <f ca="1">IFERROR(__xludf.DUMMYFUNCTION("""COMPUTED_VALUE"""),"Школа 558")</f>
        <v>Школа 558</v>
      </c>
      <c r="E408" s="5"/>
      <c r="F408" s="5"/>
      <c r="G408" s="5"/>
      <c r="H408" s="5"/>
      <c r="I408" s="5"/>
      <c r="J408" s="5"/>
      <c r="K408" s="5"/>
      <c r="L408" s="5"/>
      <c r="M408">
        <f ca="1">IFERROR(__xludf.DUMMYFUNCTION("""COMPUTED_VALUE"""),0)</f>
        <v>0</v>
      </c>
      <c r="N408" s="8"/>
    </row>
    <row r="409" spans="1:14" ht="12.45" hidden="1">
      <c r="A409" t="str">
        <f ca="1">IFERROR(__xludf.DUMMYFUNCTION("""COMPUTED_VALUE"""),"III-4-161")</f>
        <v>III-4-161</v>
      </c>
      <c r="B409" t="str">
        <f ca="1">IFERROR(__xludf.DUMMYFUNCTION("""COMPUTED_VALUE"""),"Дуглас")</f>
        <v>Дуглас</v>
      </c>
      <c r="C409" t="str">
        <f ca="1">IFERROR(__xludf.DUMMYFUNCTION("""COMPUTED_VALUE"""),"Максим")</f>
        <v>Максим</v>
      </c>
      <c r="D409" t="str">
        <f ca="1">IFERROR(__xludf.DUMMYFUNCTION("""COMPUTED_VALUE"""),"Школа 507")</f>
        <v>Школа 507</v>
      </c>
      <c r="E409" s="5"/>
      <c r="F409" s="5"/>
      <c r="G409" s="5"/>
      <c r="H409" s="5"/>
      <c r="I409" s="5"/>
      <c r="J409" s="5"/>
      <c r="K409" s="5"/>
      <c r="L409" s="5"/>
      <c r="M409">
        <f ca="1">IFERROR(__xludf.DUMMYFUNCTION("""COMPUTED_VALUE"""),0)</f>
        <v>0</v>
      </c>
      <c r="N409" s="8"/>
    </row>
    <row r="410" spans="1:14" ht="12.45" hidden="1">
      <c r="A410" t="str">
        <f ca="1">IFERROR(__xludf.DUMMYFUNCTION("""COMPUTED_VALUE"""),"III-4-163")</f>
        <v>III-4-163</v>
      </c>
      <c r="B410" t="str">
        <f ca="1">IFERROR(__xludf.DUMMYFUNCTION("""COMPUTED_VALUE"""),"Дьяков")</f>
        <v>Дьяков</v>
      </c>
      <c r="C410" t="str">
        <f ca="1">IFERROR(__xludf.DUMMYFUNCTION("""COMPUTED_VALUE"""),"Леонид")</f>
        <v>Леонид</v>
      </c>
      <c r="D410" t="str">
        <f ca="1">IFERROR(__xludf.DUMMYFUNCTION("""COMPUTED_VALUE"""),"Школа 482")</f>
        <v>Школа 482</v>
      </c>
      <c r="E410" s="5"/>
      <c r="F410" s="5"/>
      <c r="G410" s="5"/>
      <c r="H410" s="5"/>
      <c r="I410" s="5"/>
      <c r="J410" s="5"/>
      <c r="K410" s="5"/>
      <c r="L410" s="5"/>
      <c r="M410">
        <f ca="1">IFERROR(__xludf.DUMMYFUNCTION("""COMPUTED_VALUE"""),0)</f>
        <v>0</v>
      </c>
      <c r="N410" s="8"/>
    </row>
    <row r="411" spans="1:14" ht="12.45" hidden="1">
      <c r="A411" t="str">
        <f ca="1">IFERROR(__xludf.DUMMYFUNCTION("""COMPUTED_VALUE"""),"III-4-166")</f>
        <v>III-4-166</v>
      </c>
      <c r="B411" t="str">
        <f ca="1">IFERROR(__xludf.DUMMYFUNCTION("""COMPUTED_VALUE"""),"Евдокимов")</f>
        <v>Евдокимов</v>
      </c>
      <c r="C411" t="str">
        <f ca="1">IFERROR(__xludf.DUMMYFUNCTION("""COMPUTED_VALUE"""),"Лев")</f>
        <v>Лев</v>
      </c>
      <c r="D411" t="str">
        <f ca="1">IFERROR(__xludf.DUMMYFUNCTION("""COMPUTED_VALUE"""),"Школа 489")</f>
        <v>Школа 489</v>
      </c>
      <c r="E411" s="5"/>
      <c r="F411" s="5"/>
      <c r="G411" s="5"/>
      <c r="H411" s="5"/>
      <c r="I411" s="5"/>
      <c r="J411" s="5"/>
      <c r="K411" s="5"/>
      <c r="L411" s="5">
        <f ca="1">IFERROR(__xludf.DUMMYFUNCTION("""COMPUTED_VALUE"""),0)</f>
        <v>0</v>
      </c>
      <c r="M411">
        <f ca="1">IFERROR(__xludf.DUMMYFUNCTION("""COMPUTED_VALUE"""),0)</f>
        <v>0</v>
      </c>
      <c r="N411" s="8"/>
    </row>
    <row r="412" spans="1:14" ht="12.45" hidden="1">
      <c r="A412" t="str">
        <f ca="1">IFERROR(__xludf.DUMMYFUNCTION("""COMPUTED_VALUE"""),"III-4-179")</f>
        <v>III-4-179</v>
      </c>
      <c r="B412" t="str">
        <f ca="1">IFERROR(__xludf.DUMMYFUNCTION("""COMPUTED_VALUE"""),"Журавлева")</f>
        <v>Журавлева</v>
      </c>
      <c r="C412" t="str">
        <f ca="1">IFERROR(__xludf.DUMMYFUNCTION("""COMPUTED_VALUE"""),"Мирослава")</f>
        <v>Мирослава</v>
      </c>
      <c r="D412" t="str">
        <f ca="1">IFERROR(__xludf.DUMMYFUNCTION("""COMPUTED_VALUE"""),"Гимназия 1 Ульяновск")</f>
        <v>Гимназия 1 Ульяновск</v>
      </c>
      <c r="E412" s="5"/>
      <c r="F412" s="5"/>
      <c r="G412" s="5"/>
      <c r="H412" s="5"/>
      <c r="I412" s="5"/>
      <c r="J412" s="5"/>
      <c r="K412" s="5"/>
      <c r="L412" s="5"/>
      <c r="M412">
        <f ca="1">IFERROR(__xludf.DUMMYFUNCTION("""COMPUTED_VALUE"""),0)</f>
        <v>0</v>
      </c>
      <c r="N412" s="8"/>
    </row>
    <row r="413" spans="1:14" ht="12.45" hidden="1">
      <c r="A413" t="str">
        <f ca="1">IFERROR(__xludf.DUMMYFUNCTION("""COMPUTED_VALUE"""),"III-4-182")</f>
        <v>III-4-182</v>
      </c>
      <c r="B413" t="str">
        <f ca="1">IFERROR(__xludf.DUMMYFUNCTION("""COMPUTED_VALUE"""),"Захаров")</f>
        <v>Захаров</v>
      </c>
      <c r="C413" t="str">
        <f ca="1">IFERROR(__xludf.DUMMYFUNCTION("""COMPUTED_VALUE"""),"Михаил")</f>
        <v>Михаил</v>
      </c>
      <c r="D413" t="str">
        <f ca="1">IFERROR(__xludf.DUMMYFUNCTION("""COMPUTED_VALUE"""),"Лицей 273")</f>
        <v>Лицей 273</v>
      </c>
      <c r="E413" s="5"/>
      <c r="F413" s="5"/>
      <c r="G413" s="5"/>
      <c r="H413" s="5"/>
      <c r="I413" s="5"/>
      <c r="J413" s="5"/>
      <c r="K413" s="5"/>
      <c r="L413" s="5"/>
      <c r="M413">
        <f ca="1">IFERROR(__xludf.DUMMYFUNCTION("""COMPUTED_VALUE"""),0)</f>
        <v>0</v>
      </c>
      <c r="N413" s="8"/>
    </row>
    <row r="414" spans="1:14" ht="12.45" hidden="1">
      <c r="A414" t="str">
        <f ca="1">IFERROR(__xludf.DUMMYFUNCTION("""COMPUTED_VALUE"""),"III-4-184")</f>
        <v>III-4-184</v>
      </c>
      <c r="B414" t="str">
        <f ca="1">IFERROR(__xludf.DUMMYFUNCTION("""COMPUTED_VALUE"""),"Зверинцева")</f>
        <v>Зверинцева</v>
      </c>
      <c r="C414" t="str">
        <f ca="1">IFERROR(__xludf.DUMMYFUNCTION("""COMPUTED_VALUE"""),"Анастасия")</f>
        <v>Анастасия</v>
      </c>
      <c r="D414" t="str">
        <f ca="1">IFERROR(__xludf.DUMMYFUNCTION("""COMPUTED_VALUE"""),"Школа 571")</f>
        <v>Школа 571</v>
      </c>
      <c r="E414" s="5"/>
      <c r="F414" s="5"/>
      <c r="G414" s="5"/>
      <c r="H414" s="5"/>
      <c r="I414" s="5"/>
      <c r="J414" s="5"/>
      <c r="K414" s="5"/>
      <c r="L414" s="5"/>
      <c r="M414">
        <f ca="1">IFERROR(__xludf.DUMMYFUNCTION("""COMPUTED_VALUE"""),0)</f>
        <v>0</v>
      </c>
      <c r="N414" s="8"/>
    </row>
    <row r="415" spans="1:14" ht="12.45" hidden="1">
      <c r="A415" t="str">
        <f ca="1">IFERROR(__xludf.DUMMYFUNCTION("""COMPUTED_VALUE"""),"III-4-187")</f>
        <v>III-4-187</v>
      </c>
      <c r="B415" t="str">
        <f ca="1">IFERROR(__xludf.DUMMYFUNCTION("""COMPUTED_VALUE"""),"Золотовский")</f>
        <v>Золотовский</v>
      </c>
      <c r="C415" t="str">
        <f ca="1">IFERROR(__xludf.DUMMYFUNCTION("""COMPUTED_VALUE"""),"Егор")</f>
        <v>Егор</v>
      </c>
      <c r="D415" t="str">
        <f ca="1">IFERROR(__xludf.DUMMYFUNCTION("""COMPUTED_VALUE"""),"Школа 324")</f>
        <v>Школа 324</v>
      </c>
      <c r="E415" s="5"/>
      <c r="F415" s="5"/>
      <c r="G415" s="5"/>
      <c r="H415" s="5"/>
      <c r="I415" s="5"/>
      <c r="J415" s="5"/>
      <c r="K415" s="5"/>
      <c r="L415" s="5"/>
      <c r="M415">
        <f ca="1">IFERROR(__xludf.DUMMYFUNCTION("""COMPUTED_VALUE"""),0)</f>
        <v>0</v>
      </c>
      <c r="N415" s="8"/>
    </row>
    <row r="416" spans="1:14" ht="12.45" hidden="1">
      <c r="A416" t="str">
        <f ca="1">IFERROR(__xludf.DUMMYFUNCTION("""COMPUTED_VALUE"""),"III-4-191")</f>
        <v>III-4-191</v>
      </c>
      <c r="B416" t="str">
        <f ca="1">IFERROR(__xludf.DUMMYFUNCTION("""COMPUTED_VALUE"""),"Зубова")</f>
        <v>Зубова</v>
      </c>
      <c r="C416" t="str">
        <f ca="1">IFERROR(__xludf.DUMMYFUNCTION("""COMPUTED_VALUE"""),"Анна")</f>
        <v>Анна</v>
      </c>
      <c r="D416" t="str">
        <f ca="1">IFERROR(__xludf.DUMMYFUNCTION("""COMPUTED_VALUE"""),"Школа 507")</f>
        <v>Школа 507</v>
      </c>
      <c r="E416" s="5"/>
      <c r="F416" s="5"/>
      <c r="G416" s="5"/>
      <c r="H416" s="5"/>
      <c r="I416" s="5"/>
      <c r="J416" s="5"/>
      <c r="K416" s="5"/>
      <c r="L416" s="5"/>
      <c r="M416">
        <f ca="1">IFERROR(__xludf.DUMMYFUNCTION("""COMPUTED_VALUE"""),0)</f>
        <v>0</v>
      </c>
      <c r="N416" s="8"/>
    </row>
    <row r="417" spans="1:14" ht="12.45" hidden="1">
      <c r="A417" t="str">
        <f ca="1">IFERROR(__xludf.DUMMYFUNCTION("""COMPUTED_VALUE"""),"III-4-196")</f>
        <v>III-4-196</v>
      </c>
      <c r="B417" t="str">
        <f ca="1">IFERROR(__xludf.DUMMYFUNCTION("""COMPUTED_VALUE"""),"Иванов")</f>
        <v>Иванов</v>
      </c>
      <c r="C417" t="str">
        <f ca="1">IFERROR(__xludf.DUMMYFUNCTION("""COMPUTED_VALUE"""),"Михаил")</f>
        <v>Михаил</v>
      </c>
      <c r="D417" t="str">
        <f ca="1">IFERROR(__xludf.DUMMYFUNCTION("""COMPUTED_VALUE"""),"Гимназия Земля и Вселенная")</f>
        <v>Гимназия Земля и Вселенная</v>
      </c>
      <c r="E417" s="5"/>
      <c r="F417" s="5"/>
      <c r="G417" s="5"/>
      <c r="H417" s="5"/>
      <c r="I417" s="5"/>
      <c r="J417" s="5"/>
      <c r="K417" s="5"/>
      <c r="L417" s="5"/>
      <c r="M417">
        <f ca="1">IFERROR(__xludf.DUMMYFUNCTION("""COMPUTED_VALUE"""),0)</f>
        <v>0</v>
      </c>
      <c r="N417" s="8"/>
    </row>
    <row r="418" spans="1:14" ht="12.45" hidden="1">
      <c r="A418" t="str">
        <f ca="1">IFERROR(__xludf.DUMMYFUNCTION("""COMPUTED_VALUE"""),"III-4-195")</f>
        <v>III-4-195</v>
      </c>
      <c r="B418" t="str">
        <f ca="1">IFERROR(__xludf.DUMMYFUNCTION("""COMPUTED_VALUE"""),"Иванов")</f>
        <v>Иванов</v>
      </c>
      <c r="C418" t="str">
        <f ca="1">IFERROR(__xludf.DUMMYFUNCTION("""COMPUTED_VALUE"""),"Максим")</f>
        <v>Максим</v>
      </c>
      <c r="D418" t="str">
        <f ca="1">IFERROR(__xludf.DUMMYFUNCTION("""COMPUTED_VALUE"""),"Лицей 41 Лицей")</f>
        <v>Лицей 41 Лицей</v>
      </c>
      <c r="E418" s="5"/>
      <c r="F418" s="5"/>
      <c r="G418" s="5"/>
      <c r="H418" s="5"/>
      <c r="I418" s="5"/>
      <c r="J418" s="5"/>
      <c r="K418" s="5"/>
      <c r="L418" s="5"/>
      <c r="M418">
        <f ca="1">IFERROR(__xludf.DUMMYFUNCTION("""COMPUTED_VALUE"""),0)</f>
        <v>0</v>
      </c>
      <c r="N418" s="8"/>
    </row>
    <row r="419" spans="1:14" ht="12.45" hidden="1">
      <c r="A419" t="str">
        <f ca="1">IFERROR(__xludf.DUMMYFUNCTION("""COMPUTED_VALUE"""),"III-4-200")</f>
        <v>III-4-200</v>
      </c>
      <c r="B419" t="str">
        <f ca="1">IFERROR(__xludf.DUMMYFUNCTION("""COMPUTED_VALUE"""),"Игнатьев")</f>
        <v>Игнатьев</v>
      </c>
      <c r="C419" t="str">
        <f ca="1">IFERROR(__xludf.DUMMYFUNCTION("""COMPUTED_VALUE"""),"Артем")</f>
        <v>Артем</v>
      </c>
      <c r="D419" t="str">
        <f ca="1">IFERROR(__xludf.DUMMYFUNCTION("""COMPUTED_VALUE"""),"Школа 578")</f>
        <v>Школа 578</v>
      </c>
      <c r="E419" s="5">
        <f ca="1">IFERROR(__xludf.DUMMYFUNCTION("""COMPUTED_VALUE"""),0)</f>
        <v>0</v>
      </c>
      <c r="F419" s="5"/>
      <c r="G419" s="5"/>
      <c r="H419" s="5"/>
      <c r="I419" s="5"/>
      <c r="J419" s="5"/>
      <c r="K419" s="5"/>
      <c r="L419" s="5"/>
      <c r="M419">
        <f ca="1">IFERROR(__xludf.DUMMYFUNCTION("""COMPUTED_VALUE"""),0)</f>
        <v>0</v>
      </c>
      <c r="N419" s="8"/>
    </row>
    <row r="420" spans="1:14" ht="12.45" hidden="1">
      <c r="A420" t="str">
        <f ca="1">IFERROR(__xludf.DUMMYFUNCTION("""COMPUTED_VALUE"""),"III-4-201")</f>
        <v>III-4-201</v>
      </c>
      <c r="B420" t="str">
        <f ca="1">IFERROR(__xludf.DUMMYFUNCTION("""COMPUTED_VALUE"""),"Исаева")</f>
        <v>Исаева</v>
      </c>
      <c r="C420" t="str">
        <f ca="1">IFERROR(__xludf.DUMMYFUNCTION("""COMPUTED_VALUE"""),"Александра")</f>
        <v>Александра</v>
      </c>
      <c r="D420" t="str">
        <f ca="1">IFERROR(__xludf.DUMMYFUNCTION("""COMPUTED_VALUE"""),"Гимназия 652")</f>
        <v>Гимназия 652</v>
      </c>
      <c r="E420" s="5"/>
      <c r="F420" s="5"/>
      <c r="G420" s="5"/>
      <c r="H420" s="5"/>
      <c r="I420" s="5"/>
      <c r="J420" s="5"/>
      <c r="K420" s="5"/>
      <c r="L420" s="5"/>
      <c r="M420">
        <f ca="1">IFERROR(__xludf.DUMMYFUNCTION("""COMPUTED_VALUE"""),0)</f>
        <v>0</v>
      </c>
      <c r="N420" s="8"/>
    </row>
    <row r="421" spans="1:14" ht="12.45" hidden="1">
      <c r="A421" t="str">
        <f ca="1">IFERROR(__xludf.DUMMYFUNCTION("""COMPUTED_VALUE"""),"III-4-202")</f>
        <v>III-4-202</v>
      </c>
      <c r="B421" t="str">
        <f ca="1">IFERROR(__xludf.DUMMYFUNCTION("""COMPUTED_VALUE"""),"Ишуков")</f>
        <v>Ишуков</v>
      </c>
      <c r="C421" t="str">
        <f ca="1">IFERROR(__xludf.DUMMYFUNCTION("""COMPUTED_VALUE"""),"Савва")</f>
        <v>Савва</v>
      </c>
      <c r="D421" t="str">
        <f ca="1">IFERROR(__xludf.DUMMYFUNCTION("""COMPUTED_VALUE"""),"Гимназия 248")</f>
        <v>Гимназия 248</v>
      </c>
      <c r="E421" s="5"/>
      <c r="F421" s="5"/>
      <c r="G421" s="5"/>
      <c r="H421" s="5"/>
      <c r="I421" s="5"/>
      <c r="J421" s="5"/>
      <c r="K421" s="5"/>
      <c r="L421" s="5"/>
      <c r="M421">
        <f ca="1">IFERROR(__xludf.DUMMYFUNCTION("""COMPUTED_VALUE"""),0)</f>
        <v>0</v>
      </c>
      <c r="N421" s="8"/>
    </row>
    <row r="422" spans="1:14" ht="12.45" hidden="1">
      <c r="A422" t="str">
        <f ca="1">IFERROR(__xludf.DUMMYFUNCTION("""COMPUTED_VALUE"""),"III-4-204")</f>
        <v>III-4-204</v>
      </c>
      <c r="B422" t="str">
        <f ca="1">IFERROR(__xludf.DUMMYFUNCTION("""COMPUTED_VALUE"""),"Кадникова")</f>
        <v>Кадникова</v>
      </c>
      <c r="C422" t="str">
        <f ca="1">IFERROR(__xludf.DUMMYFUNCTION("""COMPUTED_VALUE"""),"Алиса")</f>
        <v>Алиса</v>
      </c>
      <c r="D422" t="str">
        <f ca="1">IFERROR(__xludf.DUMMYFUNCTION("""COMPUTED_VALUE"""),"Школа 619")</f>
        <v>Школа 619</v>
      </c>
      <c r="E422" s="5"/>
      <c r="F422" s="5"/>
      <c r="G422" s="5"/>
      <c r="H422" s="5"/>
      <c r="I422" s="5"/>
      <c r="J422" s="5"/>
      <c r="K422" s="5"/>
      <c r="L422" s="5"/>
      <c r="M422">
        <f ca="1">IFERROR(__xludf.DUMMYFUNCTION("""COMPUTED_VALUE"""),0)</f>
        <v>0</v>
      </c>
      <c r="N422" s="8"/>
    </row>
    <row r="423" spans="1:14" ht="12.45" hidden="1">
      <c r="A423" t="str">
        <f ca="1">IFERROR(__xludf.DUMMYFUNCTION("""COMPUTED_VALUE"""),"III-4-205")</f>
        <v>III-4-205</v>
      </c>
      <c r="B423" t="str">
        <f ca="1">IFERROR(__xludf.DUMMYFUNCTION("""COMPUTED_VALUE"""),"Казакова")</f>
        <v>Казакова</v>
      </c>
      <c r="C423" t="str">
        <f ca="1">IFERROR(__xludf.DUMMYFUNCTION("""COMPUTED_VALUE"""),"Мария")</f>
        <v>Мария</v>
      </c>
      <c r="D423" t="str">
        <f ca="1">IFERROR(__xludf.DUMMYFUNCTION("""COMPUTED_VALUE"""),"Гимназия 652")</f>
        <v>Гимназия 652</v>
      </c>
      <c r="E423" s="5"/>
      <c r="F423" s="5"/>
      <c r="G423" s="5"/>
      <c r="H423" s="5"/>
      <c r="I423" s="5"/>
      <c r="J423" s="5"/>
      <c r="K423" s="5"/>
      <c r="L423" s="5"/>
      <c r="M423">
        <f ca="1">IFERROR(__xludf.DUMMYFUNCTION("""COMPUTED_VALUE"""),0)</f>
        <v>0</v>
      </c>
      <c r="N423" s="8"/>
    </row>
    <row r="424" spans="1:14" ht="12.45" hidden="1">
      <c r="A424" t="str">
        <f ca="1">IFERROR(__xludf.DUMMYFUNCTION("""COMPUTED_VALUE"""),"III-4-213")</f>
        <v>III-4-213</v>
      </c>
      <c r="B424" t="str">
        <f ca="1">IFERROR(__xludf.DUMMYFUNCTION("""COMPUTED_VALUE"""),"Кардапольцев")</f>
        <v>Кардапольцев</v>
      </c>
      <c r="C424" t="str">
        <f ca="1">IFERROR(__xludf.DUMMYFUNCTION("""COMPUTED_VALUE"""),"Сергей")</f>
        <v>Сергей</v>
      </c>
      <c r="D424" t="str">
        <f ca="1">IFERROR(__xludf.DUMMYFUNCTION("""COMPUTED_VALUE"""),"Лицей 41")</f>
        <v>Лицей 41</v>
      </c>
      <c r="E424" s="5"/>
      <c r="F424" s="5"/>
      <c r="G424" s="5"/>
      <c r="H424" s="5"/>
      <c r="I424" s="5"/>
      <c r="J424" s="5"/>
      <c r="K424" s="5"/>
      <c r="L424" s="5"/>
      <c r="M424">
        <f ca="1">IFERROR(__xludf.DUMMYFUNCTION("""COMPUTED_VALUE"""),0)</f>
        <v>0</v>
      </c>
      <c r="N424" s="8"/>
    </row>
    <row r="425" spans="1:14" ht="12.45" hidden="1">
      <c r="A425" t="str">
        <f ca="1">IFERROR(__xludf.DUMMYFUNCTION("""COMPUTED_VALUE"""),"III-4-216")</f>
        <v>III-4-216</v>
      </c>
      <c r="B425" t="str">
        <f ca="1">IFERROR(__xludf.DUMMYFUNCTION("""COMPUTED_VALUE"""),"Касьян")</f>
        <v>Касьян</v>
      </c>
      <c r="C425" t="str">
        <f ca="1">IFERROR(__xludf.DUMMYFUNCTION("""COMPUTED_VALUE"""),"Варвара")</f>
        <v>Варвара</v>
      </c>
      <c r="D425" t="str">
        <f ca="1">IFERROR(__xludf.DUMMYFUNCTION("""COMPUTED_VALUE"""),"Гимназия 406")</f>
        <v>Гимназия 406</v>
      </c>
      <c r="E425" s="5"/>
      <c r="F425" s="5"/>
      <c r="G425" s="5"/>
      <c r="H425" s="5"/>
      <c r="I425" s="5"/>
      <c r="J425" s="5"/>
      <c r="K425" s="5"/>
      <c r="L425" s="5"/>
      <c r="M425">
        <f ca="1">IFERROR(__xludf.DUMMYFUNCTION("""COMPUTED_VALUE"""),0)</f>
        <v>0</v>
      </c>
      <c r="N425" s="8"/>
    </row>
    <row r="426" spans="1:14" ht="12.45" hidden="1">
      <c r="A426" t="str">
        <f ca="1">IFERROR(__xludf.DUMMYFUNCTION("""COMPUTED_VALUE"""),"III-4-217")</f>
        <v>III-4-217</v>
      </c>
      <c r="B426" t="str">
        <f ca="1">IFERROR(__xludf.DUMMYFUNCTION("""COMPUTED_VALUE"""),"Кашаева")</f>
        <v>Кашаева</v>
      </c>
      <c r="C426" t="str">
        <f ca="1">IFERROR(__xludf.DUMMYFUNCTION("""COMPUTED_VALUE"""),"Арина")</f>
        <v>Арина</v>
      </c>
      <c r="D426" t="str">
        <f ca="1">IFERROR(__xludf.DUMMYFUNCTION("""COMPUTED_VALUE"""),"Школа 644")</f>
        <v>Школа 644</v>
      </c>
      <c r="E426" s="5"/>
      <c r="F426" s="5"/>
      <c r="G426" s="5"/>
      <c r="H426" s="5"/>
      <c r="I426" s="5"/>
      <c r="J426" s="5"/>
      <c r="K426" s="5"/>
      <c r="L426" s="5"/>
      <c r="M426">
        <f ca="1">IFERROR(__xludf.DUMMYFUNCTION("""COMPUTED_VALUE"""),0)</f>
        <v>0</v>
      </c>
      <c r="N426" s="8"/>
    </row>
    <row r="427" spans="1:14" ht="12.45" hidden="1">
      <c r="A427" t="str">
        <f ca="1">IFERROR(__xludf.DUMMYFUNCTION("""COMPUTED_VALUE"""),"III-4-221")</f>
        <v>III-4-221</v>
      </c>
      <c r="B427" t="str">
        <f ca="1">IFERROR(__xludf.DUMMYFUNCTION("""COMPUTED_VALUE"""),"Кирпилева")</f>
        <v>Кирпилева</v>
      </c>
      <c r="C427" t="str">
        <f ca="1">IFERROR(__xludf.DUMMYFUNCTION("""COMPUTED_VALUE"""),"Ирина")</f>
        <v>Ирина</v>
      </c>
      <c r="D427" t="str">
        <f ca="1">IFERROR(__xludf.DUMMYFUNCTION("""COMPUTED_VALUE"""),"Лицей 9")</f>
        <v>Лицей 9</v>
      </c>
      <c r="E427" s="5"/>
      <c r="F427" s="5"/>
      <c r="G427" s="5"/>
      <c r="H427" s="5"/>
      <c r="I427" s="5"/>
      <c r="J427" s="5"/>
      <c r="K427" s="5"/>
      <c r="L427" s="5"/>
      <c r="M427">
        <f ca="1">IFERROR(__xludf.DUMMYFUNCTION("""COMPUTED_VALUE"""),0)</f>
        <v>0</v>
      </c>
      <c r="N427" s="8"/>
    </row>
    <row r="428" spans="1:14" ht="12.45" hidden="1">
      <c r="A428" t="str">
        <f ca="1">IFERROR(__xludf.DUMMYFUNCTION("""COMPUTED_VALUE"""),"III-4-222")</f>
        <v>III-4-222</v>
      </c>
      <c r="B428" t="str">
        <f ca="1">IFERROR(__xludf.DUMMYFUNCTION("""COMPUTED_VALUE"""),"Киселева")</f>
        <v>Киселева</v>
      </c>
      <c r="C428" t="str">
        <f ca="1">IFERROR(__xludf.DUMMYFUNCTION("""COMPUTED_VALUE"""),"Анастасия")</f>
        <v>Анастасия</v>
      </c>
      <c r="D428" t="str">
        <f ca="1">IFERROR(__xludf.DUMMYFUNCTION("""COMPUTED_VALUE"""),"Школа 598")</f>
        <v>Школа 598</v>
      </c>
      <c r="E428" s="5"/>
      <c r="F428" s="5"/>
      <c r="G428" s="5"/>
      <c r="H428" s="5"/>
      <c r="I428" s="5"/>
      <c r="J428" s="5"/>
      <c r="K428" s="5"/>
      <c r="L428" s="5"/>
      <c r="M428">
        <f ca="1">IFERROR(__xludf.DUMMYFUNCTION("""COMPUTED_VALUE"""),0)</f>
        <v>0</v>
      </c>
      <c r="N428" s="8"/>
    </row>
    <row r="429" spans="1:14" ht="12.45" hidden="1">
      <c r="A429" t="str">
        <f ca="1">IFERROR(__xludf.DUMMYFUNCTION("""COMPUTED_VALUE"""),"III-4-226")</f>
        <v>III-4-226</v>
      </c>
      <c r="B429" t="str">
        <f ca="1">IFERROR(__xludf.DUMMYFUNCTION("""COMPUTED_VALUE"""),"Ковалев")</f>
        <v>Ковалев</v>
      </c>
      <c r="C429" t="str">
        <f ca="1">IFERROR(__xludf.DUMMYFUNCTION("""COMPUTED_VALUE"""),"Михаил")</f>
        <v>Михаил</v>
      </c>
      <c r="D429" t="str">
        <f ca="1">IFERROR(__xludf.DUMMYFUNCTION("""COMPUTED_VALUE"""),"Школа Кузьмоловская1")</f>
        <v>Школа Кузьмоловская1</v>
      </c>
      <c r="E429" s="5"/>
      <c r="F429" s="5"/>
      <c r="G429" s="5"/>
      <c r="H429" s="5"/>
      <c r="I429" s="5"/>
      <c r="J429" s="5"/>
      <c r="K429" s="5"/>
      <c r="L429" s="5"/>
      <c r="M429">
        <f ca="1">IFERROR(__xludf.DUMMYFUNCTION("""COMPUTED_VALUE"""),0)</f>
        <v>0</v>
      </c>
      <c r="N429" s="8"/>
    </row>
    <row r="430" spans="1:14" ht="12.45" hidden="1">
      <c r="A430" t="str">
        <f ca="1">IFERROR(__xludf.DUMMYFUNCTION("""COMPUTED_VALUE"""),"III-4-235")</f>
        <v>III-4-235</v>
      </c>
      <c r="B430" t="str">
        <f ca="1">IFERROR(__xludf.DUMMYFUNCTION("""COMPUTED_VALUE"""),"Корняков")</f>
        <v>Корняков</v>
      </c>
      <c r="C430" t="str">
        <f ca="1">IFERROR(__xludf.DUMMYFUNCTION("""COMPUTED_VALUE"""),"Роман")</f>
        <v>Роман</v>
      </c>
      <c r="D430" t="str">
        <f ca="1">IFERROR(__xludf.DUMMYFUNCTION("""COMPUTED_VALUE"""),"Лицей 150")</f>
        <v>Лицей 150</v>
      </c>
      <c r="E430" s="5">
        <f ca="1">IFERROR(__xludf.DUMMYFUNCTION("""COMPUTED_VALUE"""),0)</f>
        <v>0</v>
      </c>
      <c r="F430" s="5"/>
      <c r="G430" s="5"/>
      <c r="H430" s="5"/>
      <c r="I430" s="5"/>
      <c r="J430" s="5"/>
      <c r="K430" s="5"/>
      <c r="L430" s="5"/>
      <c r="M430">
        <f ca="1">IFERROR(__xludf.DUMMYFUNCTION("""COMPUTED_VALUE"""),0)</f>
        <v>0</v>
      </c>
      <c r="N430" s="8"/>
    </row>
    <row r="431" spans="1:14" ht="12.45" hidden="1">
      <c r="A431" t="str">
        <f ca="1">IFERROR(__xludf.DUMMYFUNCTION("""COMPUTED_VALUE"""),"III-4-237")</f>
        <v>III-4-237</v>
      </c>
      <c r="B431" t="str">
        <f ca="1">IFERROR(__xludf.DUMMYFUNCTION("""COMPUTED_VALUE"""),"Корольков")</f>
        <v>Корольков</v>
      </c>
      <c r="C431" t="str">
        <f ca="1">IFERROR(__xludf.DUMMYFUNCTION("""COMPUTED_VALUE"""),"Никита")</f>
        <v>Никита</v>
      </c>
      <c r="D431" t="str">
        <f ca="1">IFERROR(__xludf.DUMMYFUNCTION("""COMPUTED_VALUE"""),"Школа 24")</f>
        <v>Школа 24</v>
      </c>
      <c r="E431" s="5"/>
      <c r="F431" s="5"/>
      <c r="G431" s="5"/>
      <c r="H431" s="5"/>
      <c r="I431" s="5"/>
      <c r="J431" s="5"/>
      <c r="K431" s="5"/>
      <c r="L431" s="5"/>
      <c r="M431">
        <f ca="1">IFERROR(__xludf.DUMMYFUNCTION("""COMPUTED_VALUE"""),0)</f>
        <v>0</v>
      </c>
      <c r="N431" s="8"/>
    </row>
    <row r="432" spans="1:14" ht="12.45" hidden="1">
      <c r="A432" t="str">
        <f ca="1">IFERROR(__xludf.DUMMYFUNCTION("""COMPUTED_VALUE"""),"III-4-239")</f>
        <v>III-4-239</v>
      </c>
      <c r="B432" t="str">
        <f ca="1">IFERROR(__xludf.DUMMYFUNCTION("""COMPUTED_VALUE"""),"Котов")</f>
        <v>Котов</v>
      </c>
      <c r="C432" t="str">
        <f ca="1">IFERROR(__xludf.DUMMYFUNCTION("""COMPUTED_VALUE"""),"Даниил")</f>
        <v>Даниил</v>
      </c>
      <c r="D432" t="str">
        <f ca="1">IFERROR(__xludf.DUMMYFUNCTION("""COMPUTED_VALUE"""),"Школа 246")</f>
        <v>Школа 246</v>
      </c>
      <c r="E432" s="5"/>
      <c r="F432" s="5"/>
      <c r="G432" s="5"/>
      <c r="H432" s="5"/>
      <c r="I432" s="5"/>
      <c r="J432" s="5"/>
      <c r="K432" s="5"/>
      <c r="L432" s="5"/>
      <c r="M432">
        <f ca="1">IFERROR(__xludf.DUMMYFUNCTION("""COMPUTED_VALUE"""),0)</f>
        <v>0</v>
      </c>
      <c r="N432" s="8"/>
    </row>
    <row r="433" spans="1:14" ht="12.45" hidden="1">
      <c r="A433" t="str">
        <f ca="1">IFERROR(__xludf.DUMMYFUNCTION("""COMPUTED_VALUE"""),"III-4-240")</f>
        <v>III-4-240</v>
      </c>
      <c r="B433" t="str">
        <f ca="1">IFERROR(__xludf.DUMMYFUNCTION("""COMPUTED_VALUE"""),"Красникова")</f>
        <v>Красникова</v>
      </c>
      <c r="C433" t="str">
        <f ca="1">IFERROR(__xludf.DUMMYFUNCTION("""COMPUTED_VALUE"""),"Кристина")</f>
        <v>Кристина</v>
      </c>
      <c r="D433" t="str">
        <f ca="1">IFERROR(__xludf.DUMMYFUNCTION("""COMPUTED_VALUE"""),"Школа 246")</f>
        <v>Школа 246</v>
      </c>
      <c r="E433" s="5"/>
      <c r="F433" s="5"/>
      <c r="G433" s="5"/>
      <c r="H433" s="5"/>
      <c r="I433" s="5"/>
      <c r="J433" s="5"/>
      <c r="K433" s="5"/>
      <c r="L433" s="5"/>
      <c r="M433">
        <f ca="1">IFERROR(__xludf.DUMMYFUNCTION("""COMPUTED_VALUE"""),0)</f>
        <v>0</v>
      </c>
      <c r="N433" s="8"/>
    </row>
    <row r="434" spans="1:14" ht="12.45" hidden="1">
      <c r="A434" t="str">
        <f ca="1">IFERROR(__xludf.DUMMYFUNCTION("""COMPUTED_VALUE"""),"III-4-243")</f>
        <v>III-4-243</v>
      </c>
      <c r="B434" t="str">
        <f ca="1">IFERROR(__xludf.DUMMYFUNCTION("""COMPUTED_VALUE"""),"Кривов")</f>
        <v>Кривов</v>
      </c>
      <c r="C434" t="str">
        <f ca="1">IFERROR(__xludf.DUMMYFUNCTION("""COMPUTED_VALUE"""),"Георгий")</f>
        <v>Георгий</v>
      </c>
      <c r="D434" t="str">
        <f ca="1">IFERROR(__xludf.DUMMYFUNCTION("""COMPUTED_VALUE"""),"Лицей Лицей 29")</f>
        <v>Лицей Лицей 29</v>
      </c>
      <c r="E434" s="5"/>
      <c r="F434" s="5"/>
      <c r="G434" s="5"/>
      <c r="H434" s="5"/>
      <c r="I434" s="5"/>
      <c r="J434" s="5"/>
      <c r="K434" s="5"/>
      <c r="L434" s="5"/>
      <c r="M434">
        <f ca="1">IFERROR(__xludf.DUMMYFUNCTION("""COMPUTED_VALUE"""),0)</f>
        <v>0</v>
      </c>
      <c r="N434" s="8"/>
    </row>
    <row r="435" spans="1:14" ht="12.45" hidden="1">
      <c r="A435" t="str">
        <f ca="1">IFERROR(__xludf.DUMMYFUNCTION("""COMPUTED_VALUE"""),"III-4-246")</f>
        <v>III-4-246</v>
      </c>
      <c r="B435" t="str">
        <f ca="1">IFERROR(__xludf.DUMMYFUNCTION("""COMPUTED_VALUE"""),"Крывошей")</f>
        <v>Крывошей</v>
      </c>
      <c r="C435" t="str">
        <f ca="1">IFERROR(__xludf.DUMMYFUNCTION("""COMPUTED_VALUE"""),"Мария")</f>
        <v>Мария</v>
      </c>
      <c r="D435" t="str">
        <f ca="1">IFERROR(__xludf.DUMMYFUNCTION("""COMPUTED_VALUE"""),"Гимназия 157")</f>
        <v>Гимназия 157</v>
      </c>
      <c r="E435" s="5"/>
      <c r="F435" s="5"/>
      <c r="G435" s="5"/>
      <c r="H435" s="5"/>
      <c r="I435" s="5"/>
      <c r="J435" s="5"/>
      <c r="K435" s="5"/>
      <c r="L435" s="5"/>
      <c r="M435">
        <f ca="1">IFERROR(__xludf.DUMMYFUNCTION("""COMPUTED_VALUE"""),0)</f>
        <v>0</v>
      </c>
      <c r="N435" s="8"/>
    </row>
    <row r="436" spans="1:14" ht="12.45" hidden="1">
      <c r="A436" t="str">
        <f ca="1">IFERROR(__xludf.DUMMYFUNCTION("""COMPUTED_VALUE"""),"III-4-247")</f>
        <v>III-4-247</v>
      </c>
      <c r="B436" t="str">
        <f ca="1">IFERROR(__xludf.DUMMYFUNCTION("""COMPUTED_VALUE"""),"Кудрина")</f>
        <v>Кудрина</v>
      </c>
      <c r="C436" t="str">
        <f ca="1">IFERROR(__xludf.DUMMYFUNCTION("""COMPUTED_VALUE"""),"Владислава")</f>
        <v>Владислава</v>
      </c>
      <c r="D436" t="str">
        <f ca="1">IFERROR(__xludf.DUMMYFUNCTION("""COMPUTED_VALUE"""),"Лицей Школа 30")</f>
        <v>Лицей Школа 30</v>
      </c>
      <c r="E436" s="5"/>
      <c r="F436" s="5"/>
      <c r="G436" s="5"/>
      <c r="H436" s="5"/>
      <c r="I436" s="5"/>
      <c r="J436" s="5"/>
      <c r="K436" s="5"/>
      <c r="L436" s="5"/>
      <c r="M436">
        <f ca="1">IFERROR(__xludf.DUMMYFUNCTION("""COMPUTED_VALUE"""),0)</f>
        <v>0</v>
      </c>
      <c r="N436" s="8"/>
    </row>
    <row r="437" spans="1:14" ht="12.45" hidden="1">
      <c r="A437" t="str">
        <f ca="1">IFERROR(__xludf.DUMMYFUNCTION("""COMPUTED_VALUE"""),"III-4-248")</f>
        <v>III-4-248</v>
      </c>
      <c r="B437" t="str">
        <f ca="1">IFERROR(__xludf.DUMMYFUNCTION("""COMPUTED_VALUE"""),"Кузьмина")</f>
        <v>Кузьмина</v>
      </c>
      <c r="C437" t="str">
        <f ca="1">IFERROR(__xludf.DUMMYFUNCTION("""COMPUTED_VALUE"""),"Лидия")</f>
        <v>Лидия</v>
      </c>
      <c r="D437" t="str">
        <f ca="1">IFERROR(__xludf.DUMMYFUNCTION("""COMPUTED_VALUE"""),"Лицей ЭМЛИ 29")</f>
        <v>Лицей ЭМЛИ 29</v>
      </c>
      <c r="E437" s="5"/>
      <c r="F437" s="5"/>
      <c r="G437" s="5"/>
      <c r="H437" s="5"/>
      <c r="I437" s="5"/>
      <c r="J437" s="5"/>
      <c r="K437" s="5"/>
      <c r="L437" s="5"/>
      <c r="M437">
        <f ca="1">IFERROR(__xludf.DUMMYFUNCTION("""COMPUTED_VALUE"""),0)</f>
        <v>0</v>
      </c>
      <c r="N437" s="8"/>
    </row>
    <row r="438" spans="1:14" ht="12.45" hidden="1">
      <c r="A438" t="str">
        <f ca="1">IFERROR(__xludf.DUMMYFUNCTION("""COMPUTED_VALUE"""),"III-4-250")</f>
        <v>III-4-250</v>
      </c>
      <c r="B438" t="str">
        <f ca="1">IFERROR(__xludf.DUMMYFUNCTION("""COMPUTED_VALUE"""),"Куликов")</f>
        <v>Куликов</v>
      </c>
      <c r="C438" t="str">
        <f ca="1">IFERROR(__xludf.DUMMYFUNCTION("""COMPUTED_VALUE"""),"Егор")</f>
        <v>Егор</v>
      </c>
      <c r="D438" t="str">
        <f ca="1">IFERROR(__xludf.DUMMYFUNCTION("""COMPUTED_VALUE"""),"Гимназия 642")</f>
        <v>Гимназия 642</v>
      </c>
      <c r="E438" s="5"/>
      <c r="F438" s="5"/>
      <c r="G438" s="5"/>
      <c r="H438" s="5"/>
      <c r="I438" s="5"/>
      <c r="J438" s="5"/>
      <c r="K438" s="5"/>
      <c r="L438" s="5"/>
      <c r="M438">
        <f ca="1">IFERROR(__xludf.DUMMYFUNCTION("""COMPUTED_VALUE"""),0)</f>
        <v>0</v>
      </c>
      <c r="N438" s="8"/>
    </row>
    <row r="439" spans="1:14" ht="12.45" hidden="1">
      <c r="A439" t="str">
        <f ca="1">IFERROR(__xludf.DUMMYFUNCTION("""COMPUTED_VALUE"""),"III-4-251")</f>
        <v>III-4-251</v>
      </c>
      <c r="B439" t="str">
        <f ca="1">IFERROR(__xludf.DUMMYFUNCTION("""COMPUTED_VALUE"""),"куприянов")</f>
        <v>куприянов</v>
      </c>
      <c r="C439" t="str">
        <f ca="1">IFERROR(__xludf.DUMMYFUNCTION("""COMPUTED_VALUE"""),"фёдор")</f>
        <v>фёдор</v>
      </c>
      <c r="D439" t="str">
        <f ca="1">IFERROR(__xludf.DUMMYFUNCTION("""COMPUTED_VALUE"""),"Школа 13")</f>
        <v>Школа 13</v>
      </c>
      <c r="E439" s="5"/>
      <c r="F439" s="5"/>
      <c r="G439" s="5"/>
      <c r="H439" s="5"/>
      <c r="I439" s="5"/>
      <c r="J439" s="5"/>
      <c r="K439" s="5"/>
      <c r="L439" s="5"/>
      <c r="M439">
        <f ca="1">IFERROR(__xludf.DUMMYFUNCTION("""COMPUTED_VALUE"""),0)</f>
        <v>0</v>
      </c>
      <c r="N439" s="8"/>
    </row>
    <row r="440" spans="1:14" ht="12.45" hidden="1">
      <c r="A440" t="str">
        <f ca="1">IFERROR(__xludf.DUMMYFUNCTION("""COMPUTED_VALUE"""),"III-4-254")</f>
        <v>III-4-254</v>
      </c>
      <c r="B440" t="str">
        <f ca="1">IFERROR(__xludf.DUMMYFUNCTION("""COMPUTED_VALUE"""),"Курганов")</f>
        <v>Курганов</v>
      </c>
      <c r="C440" t="str">
        <f ca="1">IFERROR(__xludf.DUMMYFUNCTION("""COMPUTED_VALUE"""),"Николай")</f>
        <v>Николай</v>
      </c>
      <c r="D440" t="str">
        <f ca="1">IFERROR(__xludf.DUMMYFUNCTION("""COMPUTED_VALUE"""),"Школа 327")</f>
        <v>Школа 327</v>
      </c>
      <c r="E440" s="5">
        <f ca="1">IFERROR(__xludf.DUMMYFUNCTION("""COMPUTED_VALUE"""),0)</f>
        <v>0</v>
      </c>
      <c r="F440" s="5"/>
      <c r="G440" s="5"/>
      <c r="H440" s="5"/>
      <c r="I440" s="5"/>
      <c r="J440" s="5"/>
      <c r="K440" s="5"/>
      <c r="L440" s="5"/>
      <c r="M440">
        <f ca="1">IFERROR(__xludf.DUMMYFUNCTION("""COMPUTED_VALUE"""),0)</f>
        <v>0</v>
      </c>
      <c r="N440" s="8"/>
    </row>
    <row r="441" spans="1:14" ht="12.45" hidden="1">
      <c r="A441" t="str">
        <f ca="1">IFERROR(__xludf.DUMMYFUNCTION("""COMPUTED_VALUE"""),"III-4-263")</f>
        <v>III-4-263</v>
      </c>
      <c r="B441" t="str">
        <f ca="1">IFERROR(__xludf.DUMMYFUNCTION("""COMPUTED_VALUE"""),"Латышев")</f>
        <v>Латышев</v>
      </c>
      <c r="C441" t="str">
        <f ca="1">IFERROR(__xludf.DUMMYFUNCTION("""COMPUTED_VALUE"""),"Евгений")</f>
        <v>Евгений</v>
      </c>
      <c r="D441" t="str">
        <f ca="1">IFERROR(__xludf.DUMMYFUNCTION("""COMPUTED_VALUE"""),"Школа Центр Луч")</f>
        <v>Школа Центр Луч</v>
      </c>
      <c r="E441" s="5"/>
      <c r="F441" s="5"/>
      <c r="G441" s="5"/>
      <c r="H441" s="5"/>
      <c r="I441" s="5"/>
      <c r="J441" s="5"/>
      <c r="K441" s="5"/>
      <c r="L441" s="5"/>
      <c r="M441">
        <f ca="1">IFERROR(__xludf.DUMMYFUNCTION("""COMPUTED_VALUE"""),0)</f>
        <v>0</v>
      </c>
      <c r="N441" s="8"/>
    </row>
    <row r="442" spans="1:14" ht="12.45" hidden="1">
      <c r="A442" t="str">
        <f ca="1">IFERROR(__xludf.DUMMYFUNCTION("""COMPUTED_VALUE"""),"V-4-266")</f>
        <v>V-4-266</v>
      </c>
      <c r="B442" t="str">
        <f ca="1">IFERROR(__xludf.DUMMYFUNCTION("""COMPUTED_VALUE"""),"Лебедева")</f>
        <v>Лебедева</v>
      </c>
      <c r="C442" t="str">
        <f ca="1">IFERROR(__xludf.DUMMYFUNCTION("""COMPUTED_VALUE"""),"Анна")</f>
        <v>Анна</v>
      </c>
      <c r="D442" t="str">
        <f ca="1">IFERROR(__xludf.DUMMYFUNCTION("""COMPUTED_VALUE"""),"Лицей 470")</f>
        <v>Лицей 470</v>
      </c>
      <c r="E442" s="5"/>
      <c r="F442" s="5"/>
      <c r="G442" s="5"/>
      <c r="H442" s="5"/>
      <c r="I442" s="5"/>
      <c r="J442" s="5"/>
      <c r="K442" s="5"/>
      <c r="L442" s="5"/>
      <c r="M442">
        <f ca="1">IFERROR(__xludf.DUMMYFUNCTION("""COMPUTED_VALUE"""),0)</f>
        <v>0</v>
      </c>
      <c r="N442" s="8"/>
    </row>
    <row r="443" spans="1:14" ht="12.45" hidden="1">
      <c r="A443" t="str">
        <f ca="1">IFERROR(__xludf.DUMMYFUNCTION("""COMPUTED_VALUE"""),"V-4-265")</f>
        <v>V-4-265</v>
      </c>
      <c r="B443" t="str">
        <f ca="1">IFERROR(__xludf.DUMMYFUNCTION("""COMPUTED_VALUE"""),"Лебедева")</f>
        <v>Лебедева</v>
      </c>
      <c r="C443" t="str">
        <f ca="1">IFERROR(__xludf.DUMMYFUNCTION("""COMPUTED_VALUE"""),"Анна")</f>
        <v>Анна</v>
      </c>
      <c r="D443" t="str">
        <f ca="1">IFERROR(__xludf.DUMMYFUNCTION("""COMPUTED_VALUE"""),"Лицей МБОУ ИЕГЛ школа 30")</f>
        <v>Лицей МБОУ ИЕГЛ школа 30</v>
      </c>
      <c r="E443" s="5"/>
      <c r="F443" s="5"/>
      <c r="G443" s="5"/>
      <c r="H443" s="5"/>
      <c r="I443" s="5"/>
      <c r="J443" s="5"/>
      <c r="K443" s="5"/>
      <c r="L443" s="5"/>
      <c r="M443">
        <f ca="1">IFERROR(__xludf.DUMMYFUNCTION("""COMPUTED_VALUE"""),0)</f>
        <v>0</v>
      </c>
      <c r="N443" s="8"/>
    </row>
    <row r="444" spans="1:14" ht="12.45" hidden="1">
      <c r="A444" t="str">
        <f ca="1">IFERROR(__xludf.DUMMYFUNCTION("""COMPUTED_VALUE"""),"V-4-270")</f>
        <v>V-4-270</v>
      </c>
      <c r="B444" t="str">
        <f ca="1">IFERROR(__xludf.DUMMYFUNCTION("""COMPUTED_VALUE"""),"Лиокумович")</f>
        <v>Лиокумович</v>
      </c>
      <c r="C444" t="str">
        <f ca="1">IFERROR(__xludf.DUMMYFUNCTION("""COMPUTED_VALUE"""),"Марк")</f>
        <v>Марк</v>
      </c>
      <c r="D444" t="str">
        <f ca="1">IFERROR(__xludf.DUMMYFUNCTION("""COMPUTED_VALUE"""),"Лицей 30")</f>
        <v>Лицей 30</v>
      </c>
      <c r="E444" s="5"/>
      <c r="F444" s="5"/>
      <c r="G444" s="5"/>
      <c r="H444" s="5"/>
      <c r="I444" s="5"/>
      <c r="J444" s="5"/>
      <c r="K444" s="5"/>
      <c r="L444" s="5"/>
      <c r="M444">
        <f ca="1">IFERROR(__xludf.DUMMYFUNCTION("""COMPUTED_VALUE"""),0)</f>
        <v>0</v>
      </c>
      <c r="N444" s="8"/>
    </row>
    <row r="445" spans="1:14" ht="12.45" hidden="1">
      <c r="A445" t="str">
        <f ca="1">IFERROR(__xludf.DUMMYFUNCTION("""COMPUTED_VALUE"""),"V-4-271")</f>
        <v>V-4-271</v>
      </c>
      <c r="B445" t="str">
        <f ca="1">IFERROR(__xludf.DUMMYFUNCTION("""COMPUTED_VALUE"""),"Литвинов")</f>
        <v>Литвинов</v>
      </c>
      <c r="C445" t="str">
        <f ca="1">IFERROR(__xludf.DUMMYFUNCTION("""COMPUTED_VALUE"""),"Артём")</f>
        <v>Артём</v>
      </c>
      <c r="D445" t="str">
        <f ca="1">IFERROR(__xludf.DUMMYFUNCTION("""COMPUTED_VALUE"""),"Гимназия ""Земля и Вселенная"" №642")</f>
        <v>Гимназия "Земля и Вселенная" №642</v>
      </c>
      <c r="E445" s="5"/>
      <c r="F445" s="5"/>
      <c r="G445" s="5"/>
      <c r="H445" s="5"/>
      <c r="I445" s="5"/>
      <c r="J445" s="5"/>
      <c r="K445" s="5"/>
      <c r="L445" s="5"/>
      <c r="M445">
        <f ca="1">IFERROR(__xludf.DUMMYFUNCTION("""COMPUTED_VALUE"""),0)</f>
        <v>0</v>
      </c>
      <c r="N445" s="8"/>
    </row>
    <row r="446" spans="1:14" ht="12.45" hidden="1">
      <c r="A446" t="str">
        <f ca="1">IFERROR(__xludf.DUMMYFUNCTION("""COMPUTED_VALUE"""),"V-4-275")</f>
        <v>V-4-275</v>
      </c>
      <c r="B446" t="str">
        <f ca="1">IFERROR(__xludf.DUMMYFUNCTION("""COMPUTED_VALUE"""),"Лузянин")</f>
        <v>Лузянин</v>
      </c>
      <c r="C446" t="str">
        <f ca="1">IFERROR(__xludf.DUMMYFUNCTION("""COMPUTED_VALUE"""),"Константин")</f>
        <v>Константин</v>
      </c>
      <c r="D446" t="str">
        <f ca="1">IFERROR(__xludf.DUMMYFUNCTION("""COMPUTED_VALUE"""),"Школа 324")</f>
        <v>Школа 324</v>
      </c>
      <c r="E446" s="5"/>
      <c r="F446" s="5"/>
      <c r="G446" s="5"/>
      <c r="H446" s="5"/>
      <c r="I446" s="5"/>
      <c r="J446" s="5"/>
      <c r="K446" s="5"/>
      <c r="L446" s="5"/>
      <c r="M446">
        <f ca="1">IFERROR(__xludf.DUMMYFUNCTION("""COMPUTED_VALUE"""),0)</f>
        <v>0</v>
      </c>
      <c r="N446" s="8"/>
    </row>
    <row r="447" spans="1:14" ht="12.45" hidden="1">
      <c r="A447" t="str">
        <f ca="1">IFERROR(__xludf.DUMMYFUNCTION("""COMPUTED_VALUE"""),"V-4-278")</f>
        <v>V-4-278</v>
      </c>
      <c r="B447" t="str">
        <f ca="1">IFERROR(__xludf.DUMMYFUNCTION("""COMPUTED_VALUE"""),"Максименко")</f>
        <v>Максименко</v>
      </c>
      <c r="C447" t="str">
        <f ca="1">IFERROR(__xludf.DUMMYFUNCTION("""COMPUTED_VALUE"""),"Таисия")</f>
        <v>Таисия</v>
      </c>
      <c r="D447" t="str">
        <f ca="1">IFERROR(__xludf.DUMMYFUNCTION("""COMPUTED_VALUE"""),"Школа 619")</f>
        <v>Школа 619</v>
      </c>
      <c r="E447" s="5"/>
      <c r="F447" s="5"/>
      <c r="G447" s="5"/>
      <c r="H447" s="5"/>
      <c r="I447" s="5"/>
      <c r="J447" s="5"/>
      <c r="K447" s="5"/>
      <c r="L447" s="5"/>
      <c r="M447">
        <f ca="1">IFERROR(__xludf.DUMMYFUNCTION("""COMPUTED_VALUE"""),0)</f>
        <v>0</v>
      </c>
      <c r="N447" s="8"/>
    </row>
    <row r="448" spans="1:14" ht="12.45" hidden="1">
      <c r="A448" t="str">
        <f ca="1">IFERROR(__xludf.DUMMYFUNCTION("""COMPUTED_VALUE"""),"V-4-283")</f>
        <v>V-4-283</v>
      </c>
      <c r="B448" t="str">
        <f ca="1">IFERROR(__xludf.DUMMYFUNCTION("""COMPUTED_VALUE"""),"Малькевич")</f>
        <v>Малькевич</v>
      </c>
      <c r="C448" t="str">
        <f ca="1">IFERROR(__xludf.DUMMYFUNCTION("""COMPUTED_VALUE"""),"Олеся")</f>
        <v>Олеся</v>
      </c>
      <c r="D448" t="str">
        <f ca="1">IFERROR(__xludf.DUMMYFUNCTION("""COMPUTED_VALUE"""),"Школа 508")</f>
        <v>Школа 508</v>
      </c>
      <c r="E448" s="5"/>
      <c r="F448" s="5"/>
      <c r="G448" s="5"/>
      <c r="H448" s="5"/>
      <c r="I448" s="5"/>
      <c r="J448" s="5"/>
      <c r="K448" s="5"/>
      <c r="L448" s="5"/>
      <c r="M448">
        <f ca="1">IFERROR(__xludf.DUMMYFUNCTION("""COMPUTED_VALUE"""),0)</f>
        <v>0</v>
      </c>
      <c r="N448" s="8"/>
    </row>
    <row r="449" spans="1:14" ht="12.45" hidden="1">
      <c r="A449" t="str">
        <f ca="1">IFERROR(__xludf.DUMMYFUNCTION("""COMPUTED_VALUE"""),"V-4-284")</f>
        <v>V-4-284</v>
      </c>
      <c r="B449" t="str">
        <f ca="1">IFERROR(__xludf.DUMMYFUNCTION("""COMPUTED_VALUE"""),"Малькова")</f>
        <v>Малькова</v>
      </c>
      <c r="C449" t="str">
        <f ca="1">IFERROR(__xludf.DUMMYFUNCTION("""COMPUTED_VALUE"""),"Мария")</f>
        <v>Мария</v>
      </c>
      <c r="D449" t="str">
        <f ca="1">IFERROR(__xludf.DUMMYFUNCTION("""COMPUTED_VALUE"""),"Школа 507")</f>
        <v>Школа 507</v>
      </c>
      <c r="E449" s="5"/>
      <c r="F449" s="5"/>
      <c r="G449" s="5"/>
      <c r="H449" s="5"/>
      <c r="I449" s="5"/>
      <c r="J449" s="5"/>
      <c r="K449" s="5"/>
      <c r="L449" s="5"/>
      <c r="M449">
        <f ca="1">IFERROR(__xludf.DUMMYFUNCTION("""COMPUTED_VALUE"""),0)</f>
        <v>0</v>
      </c>
      <c r="N449" s="8"/>
    </row>
    <row r="450" spans="1:14" ht="12.45" hidden="1">
      <c r="A450" t="str">
        <f ca="1">IFERROR(__xludf.DUMMYFUNCTION("""COMPUTED_VALUE"""),"V-4-291")</f>
        <v>V-4-291</v>
      </c>
      <c r="B450" t="str">
        <f ca="1">IFERROR(__xludf.DUMMYFUNCTION("""COMPUTED_VALUE"""),"Матвеев")</f>
        <v>Матвеев</v>
      </c>
      <c r="C450" t="str">
        <f ca="1">IFERROR(__xludf.DUMMYFUNCTION("""COMPUTED_VALUE"""),"Никита")</f>
        <v>Никита</v>
      </c>
      <c r="D450" t="str">
        <f ca="1">IFERROR(__xludf.DUMMYFUNCTION("""COMPUTED_VALUE"""),"Школа 324")</f>
        <v>Школа 324</v>
      </c>
      <c r="E450" s="5"/>
      <c r="F450" s="5"/>
      <c r="G450" s="5"/>
      <c r="H450" s="5"/>
      <c r="I450" s="5"/>
      <c r="J450" s="5"/>
      <c r="K450" s="5"/>
      <c r="L450" s="5"/>
      <c r="M450">
        <f ca="1">IFERROR(__xludf.DUMMYFUNCTION("""COMPUTED_VALUE"""),0)</f>
        <v>0</v>
      </c>
      <c r="N450" s="8"/>
    </row>
    <row r="451" spans="1:14" ht="12.45" hidden="1">
      <c r="A451" t="str">
        <f ca="1">IFERROR(__xludf.DUMMYFUNCTION("""COMPUTED_VALUE"""),"V-4-293")</f>
        <v>V-4-293</v>
      </c>
      <c r="B451" t="str">
        <f ca="1">IFERROR(__xludf.DUMMYFUNCTION("""COMPUTED_VALUE"""),"Матяш")</f>
        <v>Матяш</v>
      </c>
      <c r="C451" t="str">
        <f ca="1">IFERROR(__xludf.DUMMYFUNCTION("""COMPUTED_VALUE"""),"Олег")</f>
        <v>Олег</v>
      </c>
      <c r="D451" t="str">
        <f ca="1">IFERROR(__xludf.DUMMYFUNCTION("""COMPUTED_VALUE"""),"Школа 611")</f>
        <v>Школа 611</v>
      </c>
      <c r="E451" s="5"/>
      <c r="F451" s="5"/>
      <c r="G451" s="5"/>
      <c r="H451" s="5"/>
      <c r="I451" s="5"/>
      <c r="J451" s="5"/>
      <c r="K451" s="5"/>
      <c r="L451" s="5"/>
      <c r="M451">
        <f ca="1">IFERROR(__xludf.DUMMYFUNCTION("""COMPUTED_VALUE"""),0)</f>
        <v>0</v>
      </c>
      <c r="N451" s="8"/>
    </row>
    <row r="452" spans="1:14" ht="12.45" hidden="1">
      <c r="A452" t="str">
        <f ca="1">IFERROR(__xludf.DUMMYFUNCTION("""COMPUTED_VALUE"""),"V-4-295")</f>
        <v>V-4-295</v>
      </c>
      <c r="B452" t="str">
        <f ca="1">IFERROR(__xludf.DUMMYFUNCTION("""COMPUTED_VALUE"""),"Минина")</f>
        <v>Минина</v>
      </c>
      <c r="C452" t="str">
        <f ca="1">IFERROR(__xludf.DUMMYFUNCTION("""COMPUTED_VALUE"""),"Анастасия")</f>
        <v>Анастасия</v>
      </c>
      <c r="D452" t="str">
        <f ca="1">IFERROR(__xludf.DUMMYFUNCTION("""COMPUTED_VALUE"""),"Гимназия 271")</f>
        <v>Гимназия 271</v>
      </c>
      <c r="E452" s="5"/>
      <c r="F452" s="5"/>
      <c r="G452" s="5"/>
      <c r="H452" s="5"/>
      <c r="I452" s="5"/>
      <c r="J452" s="5"/>
      <c r="K452" s="5"/>
      <c r="L452" s="5"/>
      <c r="M452">
        <f ca="1">IFERROR(__xludf.DUMMYFUNCTION("""COMPUTED_VALUE"""),0)</f>
        <v>0</v>
      </c>
      <c r="N452" s="8"/>
    </row>
    <row r="453" spans="1:14" ht="12.45" hidden="1">
      <c r="A453" t="str">
        <f ca="1">IFERROR(__xludf.DUMMYFUNCTION("""COMPUTED_VALUE"""),"V-4-296")</f>
        <v>V-4-296</v>
      </c>
      <c r="B453" t="str">
        <f ca="1">IFERROR(__xludf.DUMMYFUNCTION("""COMPUTED_VALUE"""),"Михайлюк")</f>
        <v>Михайлюк</v>
      </c>
      <c r="C453" t="str">
        <f ca="1">IFERROR(__xludf.DUMMYFUNCTION("""COMPUTED_VALUE"""),"Владимир")</f>
        <v>Владимир</v>
      </c>
      <c r="D453" t="str">
        <f ca="1">IFERROR(__xludf.DUMMYFUNCTION("""COMPUTED_VALUE"""),"Лицей 9")</f>
        <v>Лицей 9</v>
      </c>
      <c r="E453" s="5"/>
      <c r="F453" s="5"/>
      <c r="G453" s="5"/>
      <c r="H453" s="5"/>
      <c r="I453" s="5"/>
      <c r="J453" s="5"/>
      <c r="K453" s="5"/>
      <c r="L453" s="5"/>
      <c r="M453">
        <f ca="1">IFERROR(__xludf.DUMMYFUNCTION("""COMPUTED_VALUE"""),0)</f>
        <v>0</v>
      </c>
      <c r="N453" s="8"/>
    </row>
    <row r="454" spans="1:14" ht="12.45" hidden="1">
      <c r="A454" t="str">
        <f ca="1">IFERROR(__xludf.DUMMYFUNCTION("""COMPUTED_VALUE"""),"V-4-301")</f>
        <v>V-4-301</v>
      </c>
      <c r="B454" t="str">
        <f ca="1">IFERROR(__xludf.DUMMYFUNCTION("""COMPUTED_VALUE"""),"Мокрушин")</f>
        <v>Мокрушин</v>
      </c>
      <c r="C454" t="str">
        <f ca="1">IFERROR(__xludf.DUMMYFUNCTION("""COMPUTED_VALUE"""),"Александр")</f>
        <v>Александр</v>
      </c>
      <c r="D454" t="str">
        <f ca="1">IFERROR(__xludf.DUMMYFUNCTION("""COMPUTED_VALUE"""),"Лицей 41 Ижевск")</f>
        <v>Лицей 41 Ижевск</v>
      </c>
      <c r="E454" s="5"/>
      <c r="F454" s="5"/>
      <c r="G454" s="5"/>
      <c r="H454" s="5"/>
      <c r="I454" s="5"/>
      <c r="J454" s="5"/>
      <c r="K454" s="5"/>
      <c r="L454" s="5"/>
      <c r="M454">
        <f ca="1">IFERROR(__xludf.DUMMYFUNCTION("""COMPUTED_VALUE"""),0)</f>
        <v>0</v>
      </c>
      <c r="N454" s="8"/>
    </row>
    <row r="455" spans="1:14" ht="12.45" hidden="1">
      <c r="A455" t="str">
        <f ca="1">IFERROR(__xludf.DUMMYFUNCTION("""COMPUTED_VALUE"""),"V-4-302")</f>
        <v>V-4-302</v>
      </c>
      <c r="B455" t="str">
        <f ca="1">IFERROR(__xludf.DUMMYFUNCTION("""COMPUTED_VALUE"""),"Мольдон")</f>
        <v>Мольдон</v>
      </c>
      <c r="C455" t="str">
        <f ca="1">IFERROR(__xludf.DUMMYFUNCTION("""COMPUTED_VALUE"""),"Вера")</f>
        <v>Вера</v>
      </c>
      <c r="D455" t="str">
        <f ca="1">IFERROR(__xludf.DUMMYFUNCTION("""COMPUTED_VALUE"""),"Школа 536")</f>
        <v>Школа 536</v>
      </c>
      <c r="E455" s="5"/>
      <c r="F455" s="5"/>
      <c r="G455" s="5"/>
      <c r="H455" s="5"/>
      <c r="I455" s="5"/>
      <c r="J455" s="5"/>
      <c r="K455" s="5"/>
      <c r="L455" s="5"/>
      <c r="M455">
        <f ca="1">IFERROR(__xludf.DUMMYFUNCTION("""COMPUTED_VALUE"""),0)</f>
        <v>0</v>
      </c>
      <c r="N455" s="8"/>
    </row>
    <row r="456" spans="1:14" ht="12.45" hidden="1">
      <c r="A456" t="str">
        <f ca="1">IFERROR(__xludf.DUMMYFUNCTION("""COMPUTED_VALUE"""),"V-4-305")</f>
        <v>V-4-305</v>
      </c>
      <c r="B456" t="str">
        <f ca="1">IFERROR(__xludf.DUMMYFUNCTION("""COMPUTED_VALUE"""),"Морыжанкова")</f>
        <v>Морыжанкова</v>
      </c>
      <c r="C456" t="str">
        <f ca="1">IFERROR(__xludf.DUMMYFUNCTION("""COMPUTED_VALUE"""),"Ксения")</f>
        <v>Ксения</v>
      </c>
      <c r="D456" t="str">
        <f ca="1">IFERROR(__xludf.DUMMYFUNCTION("""COMPUTED_VALUE"""),"Лицей 41")</f>
        <v>Лицей 41</v>
      </c>
      <c r="E456" s="5"/>
      <c r="F456" s="5"/>
      <c r="G456" s="5"/>
      <c r="H456" s="5"/>
      <c r="I456" s="5"/>
      <c r="J456" s="5"/>
      <c r="K456" s="5"/>
      <c r="L456" s="5"/>
      <c r="M456">
        <f ca="1">IFERROR(__xludf.DUMMYFUNCTION("""COMPUTED_VALUE"""),0)</f>
        <v>0</v>
      </c>
      <c r="N456" s="8"/>
    </row>
    <row r="457" spans="1:14" ht="12.45" hidden="1">
      <c r="A457" t="str">
        <f ca="1">IFERROR(__xludf.DUMMYFUNCTION("""COMPUTED_VALUE"""),"V-4-310")</f>
        <v>V-4-310</v>
      </c>
      <c r="B457" t="str">
        <f ca="1">IFERROR(__xludf.DUMMYFUNCTION("""COMPUTED_VALUE"""),"Нагиев")</f>
        <v>Нагиев</v>
      </c>
      <c r="C457" t="str">
        <f ca="1">IFERROR(__xludf.DUMMYFUNCTION("""COMPUTED_VALUE"""),"Энвер")</f>
        <v>Энвер</v>
      </c>
      <c r="D457" t="str">
        <f ca="1">IFERROR(__xludf.DUMMYFUNCTION("""COMPUTED_VALUE"""),"Гимназия 56")</f>
        <v>Гимназия 56</v>
      </c>
      <c r="E457" s="5"/>
      <c r="F457" s="5"/>
      <c r="G457" s="5"/>
      <c r="H457" s="5"/>
      <c r="I457" s="5"/>
      <c r="J457" s="5"/>
      <c r="K457" s="5"/>
      <c r="L457" s="5"/>
      <c r="M457">
        <f ca="1">IFERROR(__xludf.DUMMYFUNCTION("""COMPUTED_VALUE"""),0)</f>
        <v>0</v>
      </c>
      <c r="N457" s="8"/>
    </row>
    <row r="458" spans="1:14" ht="12.45" hidden="1">
      <c r="A458" t="str">
        <f ca="1">IFERROR(__xludf.DUMMYFUNCTION("""COMPUTED_VALUE"""),"V-4-311")</f>
        <v>V-4-311</v>
      </c>
      <c r="B458" t="str">
        <f ca="1">IFERROR(__xludf.DUMMYFUNCTION("""COMPUTED_VALUE"""),"Наговицын")</f>
        <v>Наговицын</v>
      </c>
      <c r="C458" t="str">
        <f ca="1">IFERROR(__xludf.DUMMYFUNCTION("""COMPUTED_VALUE"""),"Роман")</f>
        <v>Роман</v>
      </c>
      <c r="D458" t="str">
        <f ca="1">IFERROR(__xludf.DUMMYFUNCTION("""COMPUTED_VALUE"""),"Лицей МБОУ ИЕГЛ ""Школа-30""")</f>
        <v>Лицей МБОУ ИЕГЛ "Школа-30"</v>
      </c>
      <c r="E458" s="5"/>
      <c r="F458" s="5"/>
      <c r="G458" s="5"/>
      <c r="H458" s="5"/>
      <c r="I458" s="5"/>
      <c r="J458" s="5"/>
      <c r="K458" s="5"/>
      <c r="L458" s="5"/>
      <c r="M458">
        <f ca="1">IFERROR(__xludf.DUMMYFUNCTION("""COMPUTED_VALUE"""),0)</f>
        <v>0</v>
      </c>
      <c r="N458" s="8"/>
    </row>
    <row r="459" spans="1:14" ht="12.45" hidden="1">
      <c r="A459" t="str">
        <f ca="1">IFERROR(__xludf.DUMMYFUNCTION("""COMPUTED_VALUE"""),"V-4-312")</f>
        <v>V-4-312</v>
      </c>
      <c r="B459" t="str">
        <f ca="1">IFERROR(__xludf.DUMMYFUNCTION("""COMPUTED_VALUE"""),"Нагорная")</f>
        <v>Нагорная</v>
      </c>
      <c r="C459" t="str">
        <f ca="1">IFERROR(__xludf.DUMMYFUNCTION("""COMPUTED_VALUE"""),"Виктория")</f>
        <v>Виктория</v>
      </c>
      <c r="D459" t="str">
        <f ca="1">IFERROR(__xludf.DUMMYFUNCTION("""COMPUTED_VALUE"""),"Школа 536")</f>
        <v>Школа 536</v>
      </c>
      <c r="E459" s="5"/>
      <c r="F459" s="5"/>
      <c r="G459" s="5"/>
      <c r="H459" s="5"/>
      <c r="I459" s="5"/>
      <c r="J459" s="5"/>
      <c r="K459" s="5"/>
      <c r="L459" s="5"/>
      <c r="M459">
        <f ca="1">IFERROR(__xludf.DUMMYFUNCTION("""COMPUTED_VALUE"""),0)</f>
        <v>0</v>
      </c>
      <c r="N459" s="8"/>
    </row>
    <row r="460" spans="1:14" ht="12.45" hidden="1">
      <c r="A460" t="str">
        <f ca="1">IFERROR(__xludf.DUMMYFUNCTION("""COMPUTED_VALUE"""),"V-4-314")</f>
        <v>V-4-314</v>
      </c>
      <c r="B460" t="str">
        <f ca="1">IFERROR(__xludf.DUMMYFUNCTION("""COMPUTED_VALUE"""),"Найбауэр")</f>
        <v>Найбауэр</v>
      </c>
      <c r="C460" t="str">
        <f ca="1">IFERROR(__xludf.DUMMYFUNCTION("""COMPUTED_VALUE"""),"Кирилл")</f>
        <v>Кирилл</v>
      </c>
      <c r="D460" t="str">
        <f ca="1">IFERROR(__xludf.DUMMYFUNCTION("""COMPUTED_VALUE"""),"Школа 619")</f>
        <v>Школа 619</v>
      </c>
      <c r="E460" s="5"/>
      <c r="F460" s="5"/>
      <c r="G460" s="5"/>
      <c r="H460" s="5"/>
      <c r="I460" s="5"/>
      <c r="J460" s="5"/>
      <c r="K460" s="5"/>
      <c r="L460" s="5"/>
      <c r="M460">
        <f ca="1">IFERROR(__xludf.DUMMYFUNCTION("""COMPUTED_VALUE"""),0)</f>
        <v>0</v>
      </c>
      <c r="N460" s="8"/>
    </row>
    <row r="461" spans="1:14" ht="12.45" hidden="1">
      <c r="A461" t="str">
        <f ca="1">IFERROR(__xludf.DUMMYFUNCTION("""COMPUTED_VALUE"""),"V-4-315")</f>
        <v>V-4-315</v>
      </c>
      <c r="B461" t="str">
        <f ca="1">IFERROR(__xludf.DUMMYFUNCTION("""COMPUTED_VALUE"""),"Наумов")</f>
        <v>Наумов</v>
      </c>
      <c r="C461" t="str">
        <f ca="1">IFERROR(__xludf.DUMMYFUNCTION("""COMPUTED_VALUE"""),"Алексей")</f>
        <v>Алексей</v>
      </c>
      <c r="D461" t="str">
        <f ca="1">IFERROR(__xludf.DUMMYFUNCTION("""COMPUTED_VALUE"""),"Лицей 470")</f>
        <v>Лицей 470</v>
      </c>
      <c r="E461" s="5"/>
      <c r="F461" s="5"/>
      <c r="G461" s="5"/>
      <c r="H461" s="5"/>
      <c r="I461" s="5"/>
      <c r="J461" s="5"/>
      <c r="K461" s="5"/>
      <c r="L461" s="5"/>
      <c r="M461">
        <f ca="1">IFERROR(__xludf.DUMMYFUNCTION("""COMPUTED_VALUE"""),0)</f>
        <v>0</v>
      </c>
      <c r="N461" s="8"/>
    </row>
    <row r="462" spans="1:14" ht="12.45" hidden="1">
      <c r="A462" t="str">
        <f ca="1">IFERROR(__xludf.DUMMYFUNCTION("""COMPUTED_VALUE"""),"V-4-316")</f>
        <v>V-4-316</v>
      </c>
      <c r="B462" t="str">
        <f ca="1">IFERROR(__xludf.DUMMYFUNCTION("""COMPUTED_VALUE"""),"Неберо")</f>
        <v>Неберо</v>
      </c>
      <c r="C462" t="str">
        <f ca="1">IFERROR(__xludf.DUMMYFUNCTION("""COMPUTED_VALUE"""),"Александр")</f>
        <v>Александр</v>
      </c>
      <c r="D462" t="str">
        <f ca="1">IFERROR(__xludf.DUMMYFUNCTION("""COMPUTED_VALUE"""),"Школа 571")</f>
        <v>Школа 571</v>
      </c>
      <c r="E462" s="5"/>
      <c r="F462" s="5"/>
      <c r="G462" s="5"/>
      <c r="H462" s="5"/>
      <c r="I462" s="5"/>
      <c r="J462" s="5"/>
      <c r="K462" s="5"/>
      <c r="L462" s="5"/>
      <c r="M462">
        <f ca="1">IFERROR(__xludf.DUMMYFUNCTION("""COMPUTED_VALUE"""),0)</f>
        <v>0</v>
      </c>
      <c r="N462" s="8"/>
    </row>
    <row r="463" spans="1:14" ht="12.45" hidden="1">
      <c r="A463" t="str">
        <f ca="1">IFERROR(__xludf.DUMMYFUNCTION("""COMPUTED_VALUE"""),"V-4-317")</f>
        <v>V-4-317</v>
      </c>
      <c r="B463" t="str">
        <f ca="1">IFERROR(__xludf.DUMMYFUNCTION("""COMPUTED_VALUE"""),"Негодова")</f>
        <v>Негодова</v>
      </c>
      <c r="C463" t="str">
        <f ca="1">IFERROR(__xludf.DUMMYFUNCTION("""COMPUTED_VALUE"""),"Екатерина")</f>
        <v>Екатерина</v>
      </c>
      <c r="D463" t="str">
        <f ca="1">IFERROR(__xludf.DUMMYFUNCTION("""COMPUTED_VALUE"""),"Школа Квадривиум")</f>
        <v>Школа Квадривиум</v>
      </c>
      <c r="E463" s="5"/>
      <c r="F463" s="5"/>
      <c r="G463" s="5"/>
      <c r="H463" s="5"/>
      <c r="I463" s="5"/>
      <c r="J463" s="5"/>
      <c r="K463" s="5"/>
      <c r="L463" s="5"/>
      <c r="M463">
        <f ca="1">IFERROR(__xludf.DUMMYFUNCTION("""COMPUTED_VALUE"""),0)</f>
        <v>0</v>
      </c>
      <c r="N463" s="8"/>
    </row>
    <row r="464" spans="1:14" ht="12.45" hidden="1">
      <c r="A464" t="str">
        <f ca="1">IFERROR(__xludf.DUMMYFUNCTION("""COMPUTED_VALUE"""),"V-4-319")</f>
        <v>V-4-319</v>
      </c>
      <c r="B464" t="str">
        <f ca="1">IFERROR(__xludf.DUMMYFUNCTION("""COMPUTED_VALUE"""),"Неськин")</f>
        <v>Неськин</v>
      </c>
      <c r="C464" t="str">
        <f ca="1">IFERROR(__xludf.DUMMYFUNCTION("""COMPUTED_VALUE"""),"Константин")</f>
        <v>Константин</v>
      </c>
      <c r="D464" t="str">
        <f ca="1">IFERROR(__xludf.DUMMYFUNCTION("""COMPUTED_VALUE"""),"Лицей МАОУ физико-математический лицей 38")</f>
        <v>Лицей МАОУ физико-математический лицей 38</v>
      </c>
      <c r="E464" s="5"/>
      <c r="F464" s="5"/>
      <c r="G464" s="5"/>
      <c r="H464" s="5"/>
      <c r="I464" s="5"/>
      <c r="J464" s="5"/>
      <c r="K464" s="5"/>
      <c r="L464" s="5"/>
      <c r="M464">
        <f ca="1">IFERROR(__xludf.DUMMYFUNCTION("""COMPUTED_VALUE"""),0)</f>
        <v>0</v>
      </c>
      <c r="N464" s="8"/>
    </row>
    <row r="465" spans="1:14" ht="12.45" hidden="1">
      <c r="A465" t="str">
        <f ca="1">IFERROR(__xludf.DUMMYFUNCTION("""COMPUTED_VALUE"""),"V-4-322")</f>
        <v>V-4-322</v>
      </c>
      <c r="B465" t="str">
        <f ca="1">IFERROR(__xludf.DUMMYFUNCTION("""COMPUTED_VALUE"""),"Никитченко")</f>
        <v>Никитченко</v>
      </c>
      <c r="C465" t="str">
        <f ca="1">IFERROR(__xludf.DUMMYFUNCTION("""COMPUTED_VALUE"""),"Кирилл")</f>
        <v>Кирилл</v>
      </c>
      <c r="D465" t="str">
        <f ca="1">IFERROR(__xludf.DUMMYFUNCTION("""COMPUTED_VALUE"""),"Школа 246")</f>
        <v>Школа 246</v>
      </c>
      <c r="E465" s="5"/>
      <c r="F465" s="5"/>
      <c r="G465" s="5"/>
      <c r="H465" s="5"/>
      <c r="I465" s="5"/>
      <c r="J465" s="5"/>
      <c r="K465" s="5"/>
      <c r="L465" s="5"/>
      <c r="M465">
        <f ca="1">IFERROR(__xludf.DUMMYFUNCTION("""COMPUTED_VALUE"""),0)</f>
        <v>0</v>
      </c>
      <c r="N465" s="8"/>
    </row>
    <row r="466" spans="1:14" ht="12.45" hidden="1">
      <c r="A466" t="str">
        <f ca="1">IFERROR(__xludf.DUMMYFUNCTION("""COMPUTED_VALUE"""),"V-4-324")</f>
        <v>V-4-324</v>
      </c>
      <c r="B466" t="str">
        <f ca="1">IFERROR(__xludf.DUMMYFUNCTION("""COMPUTED_VALUE"""),"Николаева")</f>
        <v>Николаева</v>
      </c>
      <c r="C466" t="str">
        <f ca="1">IFERROR(__xludf.DUMMYFUNCTION("""COMPUTED_VALUE"""),"Вероника")</f>
        <v>Вероника</v>
      </c>
      <c r="D466" t="str">
        <f ca="1">IFERROR(__xludf.DUMMYFUNCTION("""COMPUTED_VALUE"""),"Школа 348")</f>
        <v>Школа 348</v>
      </c>
      <c r="E466" s="5"/>
      <c r="F466" s="5"/>
      <c r="G466" s="5"/>
      <c r="H466" s="5"/>
      <c r="I466" s="5"/>
      <c r="J466" s="5"/>
      <c r="K466" s="5"/>
      <c r="L466" s="5"/>
      <c r="M466">
        <f ca="1">IFERROR(__xludf.DUMMYFUNCTION("""COMPUTED_VALUE"""),0)</f>
        <v>0</v>
      </c>
      <c r="N466" s="8"/>
    </row>
    <row r="467" spans="1:14" ht="12.45" hidden="1">
      <c r="A467" t="str">
        <f ca="1">IFERROR(__xludf.DUMMYFUNCTION("""COMPUTED_VALUE"""),"V-4-328")</f>
        <v>V-4-328</v>
      </c>
      <c r="B467" t="str">
        <f ca="1">IFERROR(__xludf.DUMMYFUNCTION("""COMPUTED_VALUE"""),"Новикова")</f>
        <v>Новикова</v>
      </c>
      <c r="C467" t="str">
        <f ca="1">IFERROR(__xludf.DUMMYFUNCTION("""COMPUTED_VALUE"""),"Екатерина")</f>
        <v>Екатерина</v>
      </c>
      <c r="D467" t="str">
        <f ca="1">IFERROR(__xludf.DUMMYFUNCTION("""COMPUTED_VALUE"""),"Лицей 226")</f>
        <v>Лицей 226</v>
      </c>
      <c r="E467" s="5"/>
      <c r="F467" s="5"/>
      <c r="G467" s="5"/>
      <c r="H467" s="5"/>
      <c r="I467" s="5"/>
      <c r="J467" s="5"/>
      <c r="K467" s="5"/>
      <c r="L467" s="5"/>
      <c r="M467">
        <f ca="1">IFERROR(__xludf.DUMMYFUNCTION("""COMPUTED_VALUE"""),0)</f>
        <v>0</v>
      </c>
      <c r="N467" s="8"/>
    </row>
    <row r="468" spans="1:14" ht="12.45" hidden="1">
      <c r="A468" t="str">
        <f ca="1">IFERROR(__xludf.DUMMYFUNCTION("""COMPUTED_VALUE"""),"V-4-334")</f>
        <v>V-4-334</v>
      </c>
      <c r="B468" t="str">
        <f ca="1">IFERROR(__xludf.DUMMYFUNCTION("""COMPUTED_VALUE"""),"Орехова")</f>
        <v>Орехова</v>
      </c>
      <c r="C468" t="str">
        <f ca="1">IFERROR(__xludf.DUMMYFUNCTION("""COMPUTED_VALUE"""),"Анастасия")</f>
        <v>Анастасия</v>
      </c>
      <c r="D468" t="str">
        <f ca="1">IFERROR(__xludf.DUMMYFUNCTION("""COMPUTED_VALUE"""),"Школа 400")</f>
        <v>Школа 400</v>
      </c>
      <c r="E468" s="5"/>
      <c r="F468" s="5"/>
      <c r="G468" s="5"/>
      <c r="H468" s="5"/>
      <c r="I468" s="5"/>
      <c r="J468" s="5"/>
      <c r="K468" s="5"/>
      <c r="L468" s="5"/>
      <c r="M468">
        <f ca="1">IFERROR(__xludf.DUMMYFUNCTION("""COMPUTED_VALUE"""),0)</f>
        <v>0</v>
      </c>
      <c r="N468" s="8"/>
    </row>
    <row r="469" spans="1:14" ht="12.45" hidden="1">
      <c r="A469" t="str">
        <f ca="1">IFERROR(__xludf.DUMMYFUNCTION("""COMPUTED_VALUE"""),"V-4-338")</f>
        <v>V-4-338</v>
      </c>
      <c r="B469" t="str">
        <f ca="1">IFERROR(__xludf.DUMMYFUNCTION("""COMPUTED_VALUE"""),"Осипенко")</f>
        <v>Осипенко</v>
      </c>
      <c r="C469" t="str">
        <f ca="1">IFERROR(__xludf.DUMMYFUNCTION("""COMPUTED_VALUE"""),"Лев")</f>
        <v>Лев</v>
      </c>
      <c r="D469" t="str">
        <f ca="1">IFERROR(__xludf.DUMMYFUNCTION("""COMPUTED_VALUE"""),"Школа 625")</f>
        <v>Школа 625</v>
      </c>
      <c r="E469" s="5"/>
      <c r="F469" s="5"/>
      <c r="G469" s="5"/>
      <c r="H469" s="5"/>
      <c r="I469" s="5"/>
      <c r="J469" s="5"/>
      <c r="K469" s="5"/>
      <c r="L469" s="5"/>
      <c r="M469">
        <f ca="1">IFERROR(__xludf.DUMMYFUNCTION("""COMPUTED_VALUE"""),0)</f>
        <v>0</v>
      </c>
      <c r="N469" s="8"/>
    </row>
    <row r="470" spans="1:14" ht="12.45" hidden="1">
      <c r="A470" t="str">
        <f ca="1">IFERROR(__xludf.DUMMYFUNCTION("""COMPUTED_VALUE"""),"V-4-340")</f>
        <v>V-4-340</v>
      </c>
      <c r="B470" t="str">
        <f ca="1">IFERROR(__xludf.DUMMYFUNCTION("""COMPUTED_VALUE"""),"Павлухина")</f>
        <v>Павлухина</v>
      </c>
      <c r="C470" t="str">
        <f ca="1">IFERROR(__xludf.DUMMYFUNCTION("""COMPUTED_VALUE"""),"Анна-Виктория")</f>
        <v>Анна-Виктория</v>
      </c>
      <c r="D470" t="str">
        <f ca="1">IFERROR(__xludf.DUMMYFUNCTION("""COMPUTED_VALUE"""),"Гимназия 261")</f>
        <v>Гимназия 261</v>
      </c>
      <c r="E470" s="5"/>
      <c r="F470" s="5"/>
      <c r="G470" s="5"/>
      <c r="H470" s="5"/>
      <c r="I470" s="5"/>
      <c r="J470" s="5"/>
      <c r="K470" s="5"/>
      <c r="L470" s="5"/>
      <c r="M470">
        <f ca="1">IFERROR(__xludf.DUMMYFUNCTION("""COMPUTED_VALUE"""),0)</f>
        <v>0</v>
      </c>
      <c r="N470" s="8"/>
    </row>
    <row r="471" spans="1:14" ht="12.45" hidden="1">
      <c r="A471" t="str">
        <f ca="1">IFERROR(__xludf.DUMMYFUNCTION("""COMPUTED_VALUE"""),"V-4-341")</f>
        <v>V-4-341</v>
      </c>
      <c r="B471" t="str">
        <f ca="1">IFERROR(__xludf.DUMMYFUNCTION("""COMPUTED_VALUE"""),"Пересада")</f>
        <v>Пересада</v>
      </c>
      <c r="C471" t="str">
        <f ca="1">IFERROR(__xludf.DUMMYFUNCTION("""COMPUTED_VALUE"""),"Алиса")</f>
        <v>Алиса</v>
      </c>
      <c r="D471" t="str">
        <f ca="1">IFERROR(__xludf.DUMMYFUNCTION("""COMPUTED_VALUE"""),"Школа 525")</f>
        <v>Школа 525</v>
      </c>
      <c r="E471" s="5"/>
      <c r="F471" s="5"/>
      <c r="G471" s="5"/>
      <c r="H471" s="5"/>
      <c r="I471" s="5"/>
      <c r="J471" s="5"/>
      <c r="K471" s="5"/>
      <c r="L471" s="5"/>
      <c r="M471">
        <f ca="1">IFERROR(__xludf.DUMMYFUNCTION("""COMPUTED_VALUE"""),0)</f>
        <v>0</v>
      </c>
      <c r="N471" s="8"/>
    </row>
    <row r="472" spans="1:14" ht="12.45" hidden="1">
      <c r="A472" t="str">
        <f ca="1">IFERROR(__xludf.DUMMYFUNCTION("""COMPUTED_VALUE"""),"V-4-344")</f>
        <v>V-4-344</v>
      </c>
      <c r="B472" t="str">
        <f ca="1">IFERROR(__xludf.DUMMYFUNCTION("""COMPUTED_VALUE"""),"Петров")</f>
        <v>Петров</v>
      </c>
      <c r="C472" t="str">
        <f ca="1">IFERROR(__xludf.DUMMYFUNCTION("""COMPUTED_VALUE"""),"Иван")</f>
        <v>Иван</v>
      </c>
      <c r="D472" t="str">
        <f ca="1">IFERROR(__xludf.DUMMYFUNCTION("""COMPUTED_VALUE"""),"Школа 106")</f>
        <v>Школа 106</v>
      </c>
      <c r="E472" s="5"/>
      <c r="F472" s="5"/>
      <c r="G472" s="5"/>
      <c r="H472" s="5"/>
      <c r="I472" s="5"/>
      <c r="J472" s="5"/>
      <c r="K472" s="5"/>
      <c r="L472" s="5"/>
      <c r="M472">
        <f ca="1">IFERROR(__xludf.DUMMYFUNCTION("""COMPUTED_VALUE"""),0)</f>
        <v>0</v>
      </c>
      <c r="N472" s="8"/>
    </row>
    <row r="473" spans="1:14" ht="12.45" hidden="1">
      <c r="A473" t="str">
        <f ca="1">IFERROR(__xludf.DUMMYFUNCTION("""COMPUTED_VALUE"""),"V-4-345")</f>
        <v>V-4-345</v>
      </c>
      <c r="B473" t="str">
        <f ca="1">IFERROR(__xludf.DUMMYFUNCTION("""COMPUTED_VALUE"""),"Петрова")</f>
        <v>Петрова</v>
      </c>
      <c r="C473" t="str">
        <f ca="1">IFERROR(__xludf.DUMMYFUNCTION("""COMPUTED_VALUE"""),"Анастасия")</f>
        <v>Анастасия</v>
      </c>
      <c r="D473" t="str">
        <f ca="1">IFERROR(__xludf.DUMMYFUNCTION("""COMPUTED_VALUE"""),"Школа 233")</f>
        <v>Школа 233</v>
      </c>
      <c r="E473" s="5"/>
      <c r="F473" s="5"/>
      <c r="G473" s="5"/>
      <c r="H473" s="5"/>
      <c r="I473" s="5"/>
      <c r="J473" s="5"/>
      <c r="K473" s="5"/>
      <c r="L473" s="5"/>
      <c r="M473">
        <f ca="1">IFERROR(__xludf.DUMMYFUNCTION("""COMPUTED_VALUE"""),0)</f>
        <v>0</v>
      </c>
      <c r="N473" s="8"/>
    </row>
    <row r="474" spans="1:14" ht="12.45" hidden="1">
      <c r="A474" t="str">
        <f ca="1">IFERROR(__xludf.DUMMYFUNCTION("""COMPUTED_VALUE"""),"V-4-349")</f>
        <v>V-4-349</v>
      </c>
      <c r="B474" t="str">
        <f ca="1">IFERROR(__xludf.DUMMYFUNCTION("""COMPUTED_VALUE"""),"Пец")</f>
        <v>Пец</v>
      </c>
      <c r="C474" t="str">
        <f ca="1">IFERROR(__xludf.DUMMYFUNCTION("""COMPUTED_VALUE"""),"Максим")</f>
        <v>Максим</v>
      </c>
      <c r="D474" t="str">
        <f ca="1">IFERROR(__xludf.DUMMYFUNCTION("""COMPUTED_VALUE"""),"Гимназия 330")</f>
        <v>Гимназия 330</v>
      </c>
      <c r="E474" s="5"/>
      <c r="F474" s="5"/>
      <c r="G474" s="5"/>
      <c r="H474" s="5"/>
      <c r="I474" s="5"/>
      <c r="J474" s="5"/>
      <c r="K474" s="5"/>
      <c r="L474" s="5"/>
      <c r="M474">
        <f ca="1">IFERROR(__xludf.DUMMYFUNCTION("""COMPUTED_VALUE"""),0)</f>
        <v>0</v>
      </c>
      <c r="N474" s="8"/>
    </row>
    <row r="475" spans="1:14" ht="12.45" hidden="1">
      <c r="A475" t="str">
        <f ca="1">IFERROR(__xludf.DUMMYFUNCTION("""COMPUTED_VALUE"""),"V-4-351")</f>
        <v>V-4-351</v>
      </c>
      <c r="B475" t="str">
        <f ca="1">IFERROR(__xludf.DUMMYFUNCTION("""COMPUTED_VALUE"""),"Пичхадзе")</f>
        <v>Пичхадзе</v>
      </c>
      <c r="C475" t="str">
        <f ca="1">IFERROR(__xludf.DUMMYFUNCTION("""COMPUTED_VALUE"""),"Давид")</f>
        <v>Давид</v>
      </c>
      <c r="D475" t="str">
        <f ca="1">IFERROR(__xludf.DUMMYFUNCTION("""COMPUTED_VALUE"""),"Гимназия Гимназия 63")</f>
        <v>Гимназия Гимназия 63</v>
      </c>
      <c r="E475" s="5"/>
      <c r="F475" s="5"/>
      <c r="G475" s="5"/>
      <c r="H475" s="5"/>
      <c r="I475" s="5"/>
      <c r="J475" s="5"/>
      <c r="K475" s="5"/>
      <c r="L475" s="5"/>
      <c r="M475">
        <f ca="1">IFERROR(__xludf.DUMMYFUNCTION("""COMPUTED_VALUE"""),0)</f>
        <v>0</v>
      </c>
      <c r="N475" s="8"/>
    </row>
    <row r="476" spans="1:14" ht="12.45" hidden="1">
      <c r="A476" t="str">
        <f ca="1">IFERROR(__xludf.DUMMYFUNCTION("""COMPUTED_VALUE"""),"V-4-354")</f>
        <v>V-4-354</v>
      </c>
      <c r="B476" t="str">
        <f ca="1">IFERROR(__xludf.DUMMYFUNCTION("""COMPUTED_VALUE"""),"Плеханов")</f>
        <v>Плеханов</v>
      </c>
      <c r="C476" t="str">
        <f ca="1">IFERROR(__xludf.DUMMYFUNCTION("""COMPUTED_VALUE"""),"Илья")</f>
        <v>Илья</v>
      </c>
      <c r="D476" t="str">
        <f ca="1">IFERROR(__xludf.DUMMYFUNCTION("""COMPUTED_VALUE"""),"Лицей Экономико-математический лицей 29 г.Ижевск")</f>
        <v>Лицей Экономико-математический лицей 29 г.Ижевск</v>
      </c>
      <c r="E476" s="5"/>
      <c r="F476" s="5"/>
      <c r="G476" s="5"/>
      <c r="H476" s="5"/>
      <c r="I476" s="5"/>
      <c r="J476" s="5"/>
      <c r="K476" s="5"/>
      <c r="L476" s="5"/>
      <c r="M476">
        <f ca="1">IFERROR(__xludf.DUMMYFUNCTION("""COMPUTED_VALUE"""),0)</f>
        <v>0</v>
      </c>
      <c r="N476" s="8"/>
    </row>
    <row r="477" spans="1:14" ht="12.45" hidden="1">
      <c r="A477" t="str">
        <f ca="1">IFERROR(__xludf.DUMMYFUNCTION("""COMPUTED_VALUE"""),"V-4-355")</f>
        <v>V-4-355</v>
      </c>
      <c r="B477" t="str">
        <f ca="1">IFERROR(__xludf.DUMMYFUNCTION("""COMPUTED_VALUE"""),"Поданёв")</f>
        <v>Поданёв</v>
      </c>
      <c r="C477" t="str">
        <f ca="1">IFERROR(__xludf.DUMMYFUNCTION("""COMPUTED_VALUE"""),"Александр")</f>
        <v>Александр</v>
      </c>
      <c r="D477" t="str">
        <f ca="1">IFERROR(__xludf.DUMMYFUNCTION("""COMPUTED_VALUE"""),"Гимназия 70")</f>
        <v>Гимназия 70</v>
      </c>
      <c r="E477" s="5"/>
      <c r="F477" s="5"/>
      <c r="G477" s="5"/>
      <c r="H477" s="5"/>
      <c r="I477" s="5"/>
      <c r="J477" s="5"/>
      <c r="K477" s="5"/>
      <c r="L477" s="5"/>
      <c r="M477">
        <f ca="1">IFERROR(__xludf.DUMMYFUNCTION("""COMPUTED_VALUE"""),0)</f>
        <v>0</v>
      </c>
      <c r="N477" s="8"/>
    </row>
    <row r="478" spans="1:14" ht="12.45" hidden="1">
      <c r="A478" t="str">
        <f ca="1">IFERROR(__xludf.DUMMYFUNCTION("""COMPUTED_VALUE"""),"V-4-358")</f>
        <v>V-4-358</v>
      </c>
      <c r="B478" t="str">
        <f ca="1">IFERROR(__xludf.DUMMYFUNCTION("""COMPUTED_VALUE"""),"Покровский")</f>
        <v>Покровский</v>
      </c>
      <c r="C478" t="str">
        <f ca="1">IFERROR(__xludf.DUMMYFUNCTION("""COMPUTED_VALUE"""),"Александр")</f>
        <v>Александр</v>
      </c>
      <c r="D478" t="str">
        <f ca="1">IFERROR(__xludf.DUMMYFUNCTION("""COMPUTED_VALUE"""),"Гимназия 83")</f>
        <v>Гимназия 83</v>
      </c>
      <c r="E478" s="5"/>
      <c r="F478" s="5"/>
      <c r="G478" s="5"/>
      <c r="H478" s="5"/>
      <c r="I478" s="5"/>
      <c r="J478" s="5"/>
      <c r="K478" s="5"/>
      <c r="L478" s="5"/>
      <c r="M478">
        <f ca="1">IFERROR(__xludf.DUMMYFUNCTION("""COMPUTED_VALUE"""),0)</f>
        <v>0</v>
      </c>
      <c r="N478" s="8"/>
    </row>
    <row r="479" spans="1:14" ht="12.45" hidden="1">
      <c r="A479" t="str">
        <f ca="1">IFERROR(__xludf.DUMMYFUNCTION("""COMPUTED_VALUE"""),"V-4-359")</f>
        <v>V-4-359</v>
      </c>
      <c r="B479" t="str">
        <f ca="1">IFERROR(__xludf.DUMMYFUNCTION("""COMPUTED_VALUE"""),"Полещук")</f>
        <v>Полещук</v>
      </c>
      <c r="C479" t="str">
        <f ca="1">IFERROR(__xludf.DUMMYFUNCTION("""COMPUTED_VALUE"""),"Максим")</f>
        <v>Максим</v>
      </c>
      <c r="D479" t="str">
        <f ca="1">IFERROR(__xludf.DUMMYFUNCTION("""COMPUTED_VALUE"""),"Школа 80")</f>
        <v>Школа 80</v>
      </c>
      <c r="E479" s="5"/>
      <c r="F479" s="5"/>
      <c r="G479" s="5"/>
      <c r="H479" s="5"/>
      <c r="I479" s="5"/>
      <c r="J479" s="5"/>
      <c r="K479" s="5"/>
      <c r="L479" s="5"/>
      <c r="M479">
        <f ca="1">IFERROR(__xludf.DUMMYFUNCTION("""COMPUTED_VALUE"""),0)</f>
        <v>0</v>
      </c>
      <c r="N479" s="8"/>
    </row>
    <row r="480" spans="1:14" ht="12.45" hidden="1">
      <c r="A480" t="str">
        <f ca="1">IFERROR(__xludf.DUMMYFUNCTION("""COMPUTED_VALUE"""),"V-4-363")</f>
        <v>V-4-363</v>
      </c>
      <c r="B480" t="str">
        <f ca="1">IFERROR(__xludf.DUMMYFUNCTION("""COMPUTED_VALUE"""),"Полякова")</f>
        <v>Полякова</v>
      </c>
      <c r="C480" t="str">
        <f ca="1">IFERROR(__xludf.DUMMYFUNCTION("""COMPUTED_VALUE"""),"Елена")</f>
        <v>Елена</v>
      </c>
      <c r="D480" t="str">
        <f ca="1">IFERROR(__xludf.DUMMYFUNCTION("""COMPUTED_VALUE"""),"Школа 558")</f>
        <v>Школа 558</v>
      </c>
      <c r="E480" s="5"/>
      <c r="F480" s="5"/>
      <c r="G480" s="5"/>
      <c r="H480" s="5"/>
      <c r="I480" s="5"/>
      <c r="J480" s="5"/>
      <c r="K480" s="5"/>
      <c r="L480" s="5"/>
      <c r="M480">
        <f ca="1">IFERROR(__xludf.DUMMYFUNCTION("""COMPUTED_VALUE"""),0)</f>
        <v>0</v>
      </c>
      <c r="N480" s="8"/>
    </row>
    <row r="481" spans="1:14" ht="12.45" hidden="1">
      <c r="A481" t="str">
        <f ca="1">IFERROR(__xludf.DUMMYFUNCTION("""COMPUTED_VALUE"""),"V-4-368")</f>
        <v>V-4-368</v>
      </c>
      <c r="B481" t="str">
        <f ca="1">IFERROR(__xludf.DUMMYFUNCTION("""COMPUTED_VALUE"""),"Порфирьева")</f>
        <v>Порфирьева</v>
      </c>
      <c r="C481" t="str">
        <f ca="1">IFERROR(__xludf.DUMMYFUNCTION("""COMPUTED_VALUE"""),"Полина")</f>
        <v>Полина</v>
      </c>
      <c r="D481" t="str">
        <f ca="1">IFERROR(__xludf.DUMMYFUNCTION("""COMPUTED_VALUE"""),"Гимназия 33 (г. Ульяновск)")</f>
        <v>Гимназия 33 (г. Ульяновск)</v>
      </c>
      <c r="E481" s="5"/>
      <c r="F481" s="5"/>
      <c r="G481" s="5"/>
      <c r="H481" s="5"/>
      <c r="I481" s="5"/>
      <c r="J481" s="5"/>
      <c r="K481" s="5"/>
      <c r="L481" s="5"/>
      <c r="M481">
        <f ca="1">IFERROR(__xludf.DUMMYFUNCTION("""COMPUTED_VALUE"""),0)</f>
        <v>0</v>
      </c>
      <c r="N481" s="8"/>
    </row>
    <row r="482" spans="1:14" ht="12.45" hidden="1">
      <c r="A482" t="str">
        <f ca="1">IFERROR(__xludf.DUMMYFUNCTION("""COMPUTED_VALUE"""),"V-4-369")</f>
        <v>V-4-369</v>
      </c>
      <c r="B482" t="str">
        <f ca="1">IFERROR(__xludf.DUMMYFUNCTION("""COMPUTED_VALUE"""),"Потапова")</f>
        <v>Потапова</v>
      </c>
      <c r="C482" t="str">
        <f ca="1">IFERROR(__xludf.DUMMYFUNCTION("""COMPUTED_VALUE"""),"Даниэла")</f>
        <v>Даниэла</v>
      </c>
      <c r="D482" t="str">
        <f ca="1">IFERROR(__xludf.DUMMYFUNCTION("""COMPUTED_VALUE"""),"Гимназия 11")</f>
        <v>Гимназия 11</v>
      </c>
      <c r="E482" s="5"/>
      <c r="F482" s="5"/>
      <c r="G482" s="5"/>
      <c r="H482" s="5"/>
      <c r="I482" s="5"/>
      <c r="J482" s="5"/>
      <c r="K482" s="5"/>
      <c r="L482" s="5"/>
      <c r="M482">
        <f ca="1">IFERROR(__xludf.DUMMYFUNCTION("""COMPUTED_VALUE"""),0)</f>
        <v>0</v>
      </c>
      <c r="N482" s="8"/>
    </row>
    <row r="483" spans="1:14" ht="12.45" hidden="1">
      <c r="A483" t="str">
        <f ca="1">IFERROR(__xludf.DUMMYFUNCTION("""COMPUTED_VALUE"""),"V-4-372")</f>
        <v>V-4-372</v>
      </c>
      <c r="B483" t="str">
        <f ca="1">IFERROR(__xludf.DUMMYFUNCTION("""COMPUTED_VALUE"""),"Профе")</f>
        <v>Профе</v>
      </c>
      <c r="C483" t="str">
        <f ca="1">IFERROR(__xludf.DUMMYFUNCTION("""COMPUTED_VALUE"""),"Дмитрий")</f>
        <v>Дмитрий</v>
      </c>
      <c r="D483" t="str">
        <f ca="1">IFERROR(__xludf.DUMMYFUNCTION("""COMPUTED_VALUE"""),"Лицей 64")</f>
        <v>Лицей 64</v>
      </c>
      <c r="E483" s="5"/>
      <c r="F483" s="5"/>
      <c r="G483" s="5"/>
      <c r="H483" s="5"/>
      <c r="I483" s="5"/>
      <c r="J483" s="5"/>
      <c r="K483" s="5"/>
      <c r="L483" s="5"/>
      <c r="M483">
        <f ca="1">IFERROR(__xludf.DUMMYFUNCTION("""COMPUTED_VALUE"""),0)</f>
        <v>0</v>
      </c>
      <c r="N483" s="8"/>
    </row>
    <row r="484" spans="1:14" ht="12.45" hidden="1">
      <c r="A484" t="str">
        <f ca="1">IFERROR(__xludf.DUMMYFUNCTION("""COMPUTED_VALUE"""),"V-4-374")</f>
        <v>V-4-374</v>
      </c>
      <c r="B484" t="str">
        <f ca="1">IFERROR(__xludf.DUMMYFUNCTION("""COMPUTED_VALUE"""),"Птицын")</f>
        <v>Птицын</v>
      </c>
      <c r="C484" t="str">
        <f ca="1">IFERROR(__xludf.DUMMYFUNCTION("""COMPUTED_VALUE"""),"Дмитрий")</f>
        <v>Дмитрий</v>
      </c>
      <c r="D484" t="str">
        <f ca="1">IFERROR(__xludf.DUMMYFUNCTION("""COMPUTED_VALUE"""),"Лицей 150")</f>
        <v>Лицей 150</v>
      </c>
      <c r="E484" s="5"/>
      <c r="F484" s="5"/>
      <c r="G484" s="5"/>
      <c r="H484" s="5"/>
      <c r="I484" s="5"/>
      <c r="J484" s="5"/>
      <c r="K484" s="5"/>
      <c r="L484" s="5"/>
      <c r="M484">
        <f ca="1">IFERROR(__xludf.DUMMYFUNCTION("""COMPUTED_VALUE"""),0)</f>
        <v>0</v>
      </c>
      <c r="N484" s="8"/>
    </row>
    <row r="485" spans="1:14" ht="12.45" hidden="1">
      <c r="A485" t="str">
        <f ca="1">IFERROR(__xludf.DUMMYFUNCTION("""COMPUTED_VALUE"""),"V-4-375")</f>
        <v>V-4-375</v>
      </c>
      <c r="B485" t="str">
        <f ca="1">IFERROR(__xludf.DUMMYFUNCTION("""COMPUTED_VALUE"""),"Пудышева")</f>
        <v>Пудышева</v>
      </c>
      <c r="C485" t="str">
        <f ca="1">IFERROR(__xludf.DUMMYFUNCTION("""COMPUTED_VALUE"""),"Василиса")</f>
        <v>Василиса</v>
      </c>
      <c r="D485" t="str">
        <f ca="1">IFERROR(__xludf.DUMMYFUNCTION("""COMPUTED_VALUE"""),"Лицей 273")</f>
        <v>Лицей 273</v>
      </c>
      <c r="E485" s="5"/>
      <c r="F485" s="5"/>
      <c r="G485" s="5"/>
      <c r="H485" s="5"/>
      <c r="I485" s="5"/>
      <c r="J485" s="5"/>
      <c r="K485" s="5"/>
      <c r="L485" s="5"/>
      <c r="M485">
        <f ca="1">IFERROR(__xludf.DUMMYFUNCTION("""COMPUTED_VALUE"""),0)</f>
        <v>0</v>
      </c>
      <c r="N485" s="8"/>
    </row>
    <row r="486" spans="1:14" ht="12.45" hidden="1">
      <c r="A486" t="str">
        <f ca="1">IFERROR(__xludf.DUMMYFUNCTION("""COMPUTED_VALUE"""),"V-4-390")</f>
        <v>V-4-390</v>
      </c>
      <c r="B486" t="str">
        <f ca="1">IFERROR(__xludf.DUMMYFUNCTION("""COMPUTED_VALUE"""),"Розанов")</f>
        <v>Розанов</v>
      </c>
      <c r="C486" t="str">
        <f ca="1">IFERROR(__xludf.DUMMYFUNCTION("""COMPUTED_VALUE"""),"Сергей")</f>
        <v>Сергей</v>
      </c>
      <c r="D486" t="str">
        <f ca="1">IFERROR(__xludf.DUMMYFUNCTION("""COMPUTED_VALUE"""),"Школа 77")</f>
        <v>Школа 77</v>
      </c>
      <c r="E486" s="5"/>
      <c r="F486" s="5"/>
      <c r="G486" s="5"/>
      <c r="H486" s="5"/>
      <c r="I486" s="5"/>
      <c r="J486" s="5"/>
      <c r="K486" s="5"/>
      <c r="L486" s="5"/>
      <c r="M486">
        <f ca="1">IFERROR(__xludf.DUMMYFUNCTION("""COMPUTED_VALUE"""),0)</f>
        <v>0</v>
      </c>
      <c r="N486" s="8"/>
    </row>
    <row r="487" spans="1:14" ht="12.45" hidden="1">
      <c r="A487" t="str">
        <f ca="1">IFERROR(__xludf.DUMMYFUNCTION("""COMPUTED_VALUE"""),"V-4-392")</f>
        <v>V-4-392</v>
      </c>
      <c r="B487" t="str">
        <f ca="1">IFERROR(__xludf.DUMMYFUNCTION("""COMPUTED_VALUE"""),"Романенко")</f>
        <v>Романенко</v>
      </c>
      <c r="C487" t="str">
        <f ca="1">IFERROR(__xludf.DUMMYFUNCTION("""COMPUTED_VALUE"""),"Софья")</f>
        <v>Софья</v>
      </c>
      <c r="D487" t="str">
        <f ca="1">IFERROR(__xludf.DUMMYFUNCTION("""COMPUTED_VALUE"""),"Гимназия 83")</f>
        <v>Гимназия 83</v>
      </c>
      <c r="E487" s="5"/>
      <c r="F487" s="5"/>
      <c r="G487" s="5"/>
      <c r="H487" s="5"/>
      <c r="I487" s="5"/>
      <c r="J487" s="5"/>
      <c r="K487" s="5"/>
      <c r="L487" s="5"/>
      <c r="M487">
        <f ca="1">IFERROR(__xludf.DUMMYFUNCTION("""COMPUTED_VALUE"""),0)</f>
        <v>0</v>
      </c>
      <c r="N487" s="8"/>
    </row>
    <row r="488" spans="1:14" ht="12.45" hidden="1">
      <c r="A488" t="str">
        <f ca="1">IFERROR(__xludf.DUMMYFUNCTION("""COMPUTED_VALUE"""),"V-4-393")</f>
        <v>V-4-393</v>
      </c>
      <c r="B488" t="str">
        <f ca="1">IFERROR(__xludf.DUMMYFUNCTION("""COMPUTED_VALUE"""),"Романчук")</f>
        <v>Романчук</v>
      </c>
      <c r="C488" t="str">
        <f ca="1">IFERROR(__xludf.DUMMYFUNCTION("""COMPUTED_VALUE"""),"Георгий")</f>
        <v>Георгий</v>
      </c>
      <c r="D488" t="str">
        <f ca="1">IFERROR(__xludf.DUMMYFUNCTION("""COMPUTED_VALUE"""),"Школа ЧОУ Академия")</f>
        <v>Школа ЧОУ Академия</v>
      </c>
      <c r="E488" s="5"/>
      <c r="F488" s="5"/>
      <c r="G488" s="5"/>
      <c r="H488" s="5"/>
      <c r="I488" s="5"/>
      <c r="J488" s="5"/>
      <c r="K488" s="5"/>
      <c r="L488" s="5"/>
      <c r="M488">
        <f ca="1">IFERROR(__xludf.DUMMYFUNCTION("""COMPUTED_VALUE"""),0)</f>
        <v>0</v>
      </c>
      <c r="N488" s="8"/>
    </row>
    <row r="489" spans="1:14" ht="12.45" hidden="1">
      <c r="A489" t="str">
        <f ca="1">IFERROR(__xludf.DUMMYFUNCTION("""COMPUTED_VALUE"""),"V-4-394")</f>
        <v>V-4-394</v>
      </c>
      <c r="B489" t="str">
        <f ca="1">IFERROR(__xludf.DUMMYFUNCTION("""COMPUTED_VALUE"""),"Рудаева")</f>
        <v>Рудаева</v>
      </c>
      <c r="C489" t="str">
        <f ca="1">IFERROR(__xludf.DUMMYFUNCTION("""COMPUTED_VALUE"""),"Екатерина")</f>
        <v>Екатерина</v>
      </c>
      <c r="D489" t="str">
        <f ca="1">IFERROR(__xludf.DUMMYFUNCTION("""COMPUTED_VALUE"""),"Школа 62")</f>
        <v>Школа 62</v>
      </c>
      <c r="E489" s="5"/>
      <c r="F489" s="5"/>
      <c r="G489" s="5"/>
      <c r="H489" s="5"/>
      <c r="I489" s="5"/>
      <c r="J489" s="5"/>
      <c r="K489" s="5"/>
      <c r="L489" s="5"/>
      <c r="M489">
        <f ca="1">IFERROR(__xludf.DUMMYFUNCTION("""COMPUTED_VALUE"""),0)</f>
        <v>0</v>
      </c>
      <c r="N489" s="8"/>
    </row>
    <row r="490" spans="1:14" ht="12.45" hidden="1">
      <c r="A490" t="str">
        <f ca="1">IFERROR(__xludf.DUMMYFUNCTION("""COMPUTED_VALUE"""),"V-4-397")</f>
        <v>V-4-397</v>
      </c>
      <c r="B490" t="str">
        <f ca="1">IFERROR(__xludf.DUMMYFUNCTION("""COMPUTED_VALUE"""),"Румянцев")</f>
        <v>Румянцев</v>
      </c>
      <c r="C490" t="str">
        <f ca="1">IFERROR(__xludf.DUMMYFUNCTION("""COMPUTED_VALUE"""),"Николай")</f>
        <v>Николай</v>
      </c>
      <c r="D490" t="str">
        <f ca="1">IFERROR(__xludf.DUMMYFUNCTION("""COMPUTED_VALUE"""),"Школа 106")</f>
        <v>Школа 106</v>
      </c>
      <c r="E490" s="5"/>
      <c r="F490" s="5"/>
      <c r="G490" s="5"/>
      <c r="H490" s="5"/>
      <c r="I490" s="5"/>
      <c r="J490" s="5"/>
      <c r="K490" s="5"/>
      <c r="L490" s="5"/>
      <c r="M490">
        <f ca="1">IFERROR(__xludf.DUMMYFUNCTION("""COMPUTED_VALUE"""),0)</f>
        <v>0</v>
      </c>
      <c r="N490" s="8"/>
    </row>
    <row r="491" spans="1:14" ht="12.45" hidden="1">
      <c r="A491" t="str">
        <f ca="1">IFERROR(__xludf.DUMMYFUNCTION("""COMPUTED_VALUE"""),"V-4-398")</f>
        <v>V-4-398</v>
      </c>
      <c r="B491" t="str">
        <f ca="1">IFERROR(__xludf.DUMMYFUNCTION("""COMPUTED_VALUE"""),"Русакова")</f>
        <v>Русакова</v>
      </c>
      <c r="C491" t="str">
        <f ca="1">IFERROR(__xludf.DUMMYFUNCTION("""COMPUTED_VALUE"""),"Ольга")</f>
        <v>Ольга</v>
      </c>
      <c r="D491" t="str">
        <f ca="1">IFERROR(__xludf.DUMMYFUNCTION("""COMPUTED_VALUE"""),"Гимназия 248")</f>
        <v>Гимназия 248</v>
      </c>
      <c r="E491" s="5"/>
      <c r="F491" s="5"/>
      <c r="G491" s="5"/>
      <c r="H491" s="5"/>
      <c r="I491" s="5"/>
      <c r="J491" s="5"/>
      <c r="K491" s="5"/>
      <c r="L491" s="5"/>
      <c r="M491">
        <f ca="1">IFERROR(__xludf.DUMMYFUNCTION("""COMPUTED_VALUE"""),0)</f>
        <v>0</v>
      </c>
      <c r="N491" s="8"/>
    </row>
    <row r="492" spans="1:14" ht="12.45" hidden="1">
      <c r="A492" t="str">
        <f ca="1">IFERROR(__xludf.DUMMYFUNCTION("""COMPUTED_VALUE"""),"V-4-400")</f>
        <v>V-4-400</v>
      </c>
      <c r="B492" t="str">
        <f ca="1">IFERROR(__xludf.DUMMYFUNCTION("""COMPUTED_VALUE"""),"Рыбаков")</f>
        <v>Рыбаков</v>
      </c>
      <c r="C492" t="str">
        <f ca="1">IFERROR(__xludf.DUMMYFUNCTION("""COMPUTED_VALUE"""),"вадим")</f>
        <v>вадим</v>
      </c>
      <c r="D492" t="str">
        <f ca="1">IFERROR(__xludf.DUMMYFUNCTION("""COMPUTED_VALUE"""),"Гимназия 177")</f>
        <v>Гимназия 177</v>
      </c>
      <c r="E492" s="5"/>
      <c r="F492" s="5"/>
      <c r="G492" s="5"/>
      <c r="H492" s="5"/>
      <c r="I492" s="5"/>
      <c r="J492" s="5"/>
      <c r="K492" s="5"/>
      <c r="L492" s="5"/>
      <c r="M492">
        <f ca="1">IFERROR(__xludf.DUMMYFUNCTION("""COMPUTED_VALUE"""),0)</f>
        <v>0</v>
      </c>
      <c r="N492" s="8"/>
    </row>
    <row r="493" spans="1:14" ht="12.45" hidden="1">
      <c r="A493" t="str">
        <f ca="1">IFERROR(__xludf.DUMMYFUNCTION("""COMPUTED_VALUE"""),"V-4-401")</f>
        <v>V-4-401</v>
      </c>
      <c r="B493" t="str">
        <f ca="1">IFERROR(__xludf.DUMMYFUNCTION("""COMPUTED_VALUE"""),"Рыбкина")</f>
        <v>Рыбкина</v>
      </c>
      <c r="C493" t="str">
        <f ca="1">IFERROR(__xludf.DUMMYFUNCTION("""COMPUTED_VALUE"""),"Маргарита")</f>
        <v>Маргарита</v>
      </c>
      <c r="D493" t="str">
        <f ca="1">IFERROR(__xludf.DUMMYFUNCTION("""COMPUTED_VALUE"""),"Школа 246")</f>
        <v>Школа 246</v>
      </c>
      <c r="E493" s="5"/>
      <c r="F493" s="5"/>
      <c r="G493" s="5"/>
      <c r="H493" s="5"/>
      <c r="I493" s="5"/>
      <c r="J493" s="5"/>
      <c r="K493" s="5"/>
      <c r="L493" s="5"/>
      <c r="M493">
        <f ca="1">IFERROR(__xludf.DUMMYFUNCTION("""COMPUTED_VALUE"""),0)</f>
        <v>0</v>
      </c>
      <c r="N493" s="8"/>
    </row>
    <row r="494" spans="1:14" ht="12.45" hidden="1">
      <c r="A494" t="str">
        <f ca="1">IFERROR(__xludf.DUMMYFUNCTION("""COMPUTED_VALUE"""),"V-4-403")</f>
        <v>V-4-403</v>
      </c>
      <c r="B494" t="str">
        <f ca="1">IFERROR(__xludf.DUMMYFUNCTION("""COMPUTED_VALUE"""),"Сабирова")</f>
        <v>Сабирова</v>
      </c>
      <c r="C494" t="str">
        <f ca="1">IFERROR(__xludf.DUMMYFUNCTION("""COMPUTED_VALUE"""),"Алиса")</f>
        <v>Алиса</v>
      </c>
      <c r="D494" t="str">
        <f ca="1">IFERROR(__xludf.DUMMYFUNCTION("""COMPUTED_VALUE"""),"Лицей Экономико-математический лицей 29")</f>
        <v>Лицей Экономико-математический лицей 29</v>
      </c>
      <c r="E494" s="5"/>
      <c r="F494" s="5"/>
      <c r="G494" s="5"/>
      <c r="H494" s="5"/>
      <c r="I494" s="5"/>
      <c r="J494" s="5"/>
      <c r="K494" s="5"/>
      <c r="L494" s="5"/>
      <c r="M494">
        <f ca="1">IFERROR(__xludf.DUMMYFUNCTION("""COMPUTED_VALUE"""),0)</f>
        <v>0</v>
      </c>
      <c r="N494" s="8"/>
    </row>
    <row r="495" spans="1:14" ht="12.45" hidden="1">
      <c r="A495" t="str">
        <f ca="1">IFERROR(__xludf.DUMMYFUNCTION("""COMPUTED_VALUE"""),"V-4-405")</f>
        <v>V-4-405</v>
      </c>
      <c r="B495" t="str">
        <f ca="1">IFERROR(__xludf.DUMMYFUNCTION("""COMPUTED_VALUE"""),"Савопуло")</f>
        <v>Савопуло</v>
      </c>
      <c r="C495" t="str">
        <f ca="1">IFERROR(__xludf.DUMMYFUNCTION("""COMPUTED_VALUE"""),"Ангелина")</f>
        <v>Ангелина</v>
      </c>
      <c r="D495" t="str">
        <f ca="1">IFERROR(__xludf.DUMMYFUNCTION("""COMPUTED_VALUE"""),"Школа 619")</f>
        <v>Школа 619</v>
      </c>
      <c r="E495" s="5"/>
      <c r="F495" s="5"/>
      <c r="G495" s="5"/>
      <c r="H495" s="5"/>
      <c r="I495" s="5"/>
      <c r="J495" s="5"/>
      <c r="K495" s="5"/>
      <c r="L495" s="5"/>
      <c r="M495">
        <f ca="1">IFERROR(__xludf.DUMMYFUNCTION("""COMPUTED_VALUE"""),0)</f>
        <v>0</v>
      </c>
      <c r="N495" s="8"/>
    </row>
    <row r="496" spans="1:14" ht="12.45" hidden="1">
      <c r="A496" t="str">
        <f ca="1">IFERROR(__xludf.DUMMYFUNCTION("""COMPUTED_VALUE"""),"V-4-408")</f>
        <v>V-4-408</v>
      </c>
      <c r="B496" t="str">
        <f ca="1">IFERROR(__xludf.DUMMYFUNCTION("""COMPUTED_VALUE"""),"Саенко")</f>
        <v>Саенко</v>
      </c>
      <c r="C496" t="str">
        <f ca="1">IFERROR(__xludf.DUMMYFUNCTION("""COMPUTED_VALUE"""),"Федор")</f>
        <v>Федор</v>
      </c>
      <c r="D496" t="str">
        <f ca="1">IFERROR(__xludf.DUMMYFUNCTION("""COMPUTED_VALUE"""),"Гимназия 74")</f>
        <v>Гимназия 74</v>
      </c>
      <c r="E496" s="5">
        <f ca="1">IFERROR(__xludf.DUMMYFUNCTION("""COMPUTED_VALUE"""),0)</f>
        <v>0</v>
      </c>
      <c r="F496" s="5"/>
      <c r="G496" s="5"/>
      <c r="H496" s="5"/>
      <c r="I496" s="5"/>
      <c r="J496" s="5"/>
      <c r="K496" s="5"/>
      <c r="L496" s="5"/>
      <c r="M496">
        <f ca="1">IFERROR(__xludf.DUMMYFUNCTION("""COMPUTED_VALUE"""),0)</f>
        <v>0</v>
      </c>
      <c r="N496" s="8"/>
    </row>
    <row r="497" spans="1:14" ht="12.45" hidden="1">
      <c r="A497" t="str">
        <f ca="1">IFERROR(__xludf.DUMMYFUNCTION("""COMPUTED_VALUE"""),"V-4-411")</f>
        <v>V-4-411</v>
      </c>
      <c r="B497" t="str">
        <f ca="1">IFERROR(__xludf.DUMMYFUNCTION("""COMPUTED_VALUE"""),"Самородских")</f>
        <v>Самородских</v>
      </c>
      <c r="C497" t="str">
        <f ca="1">IFERROR(__xludf.DUMMYFUNCTION("""COMPUTED_VALUE"""),"Cофия")</f>
        <v>Cофия</v>
      </c>
      <c r="D497" t="str">
        <f ca="1">IFERROR(__xludf.DUMMYFUNCTION("""COMPUTED_VALUE"""),"Лицей 9")</f>
        <v>Лицей 9</v>
      </c>
      <c r="E497" s="5"/>
      <c r="F497" s="5"/>
      <c r="G497" s="5"/>
      <c r="H497" s="5"/>
      <c r="I497" s="5"/>
      <c r="J497" s="5"/>
      <c r="K497" s="5"/>
      <c r="L497" s="5"/>
      <c r="M497">
        <f ca="1">IFERROR(__xludf.DUMMYFUNCTION("""COMPUTED_VALUE"""),0)</f>
        <v>0</v>
      </c>
      <c r="N497" s="8"/>
    </row>
    <row r="498" spans="1:14" ht="12.45" hidden="1">
      <c r="A498" t="str">
        <f ca="1">IFERROR(__xludf.DUMMYFUNCTION("""COMPUTED_VALUE"""),"V-4-414")</f>
        <v>V-4-414</v>
      </c>
      <c r="B498" t="str">
        <f ca="1">IFERROR(__xludf.DUMMYFUNCTION("""COMPUTED_VALUE"""),"Сафонов")</f>
        <v>Сафонов</v>
      </c>
      <c r="C498" t="str">
        <f ca="1">IFERROR(__xludf.DUMMYFUNCTION("""COMPUTED_VALUE"""),"Алексей")</f>
        <v>Алексей</v>
      </c>
      <c r="D498" t="str">
        <f ca="1">IFERROR(__xludf.DUMMYFUNCTION("""COMPUTED_VALUE"""),"Лицей 344")</f>
        <v>Лицей 344</v>
      </c>
      <c r="E498" s="5"/>
      <c r="F498" s="5"/>
      <c r="G498" s="5"/>
      <c r="H498" s="5"/>
      <c r="I498" s="5"/>
      <c r="J498" s="5"/>
      <c r="K498" s="5"/>
      <c r="L498" s="5"/>
      <c r="M498">
        <f ca="1">IFERROR(__xludf.DUMMYFUNCTION("""COMPUTED_VALUE"""),0)</f>
        <v>0</v>
      </c>
      <c r="N498" s="8"/>
    </row>
    <row r="499" spans="1:14" ht="12.45" hidden="1">
      <c r="A499" t="str">
        <f ca="1">IFERROR(__xludf.DUMMYFUNCTION("""COMPUTED_VALUE"""),"V-4-415")</f>
        <v>V-4-415</v>
      </c>
      <c r="B499" t="str">
        <f ca="1">IFERROR(__xludf.DUMMYFUNCTION("""COMPUTED_VALUE"""),"Свиридов")</f>
        <v>Свиридов</v>
      </c>
      <c r="C499" t="str">
        <f ca="1">IFERROR(__xludf.DUMMYFUNCTION("""COMPUTED_VALUE"""),"Леон")</f>
        <v>Леон</v>
      </c>
      <c r="D499" t="str">
        <f ca="1">IFERROR(__xludf.DUMMYFUNCTION("""COMPUTED_VALUE"""),"Школа 36")</f>
        <v>Школа 36</v>
      </c>
      <c r="E499" s="5"/>
      <c r="F499" s="5"/>
      <c r="G499" s="5"/>
      <c r="H499" s="5"/>
      <c r="I499" s="5"/>
      <c r="J499" s="5"/>
      <c r="K499" s="5"/>
      <c r="L499" s="5"/>
      <c r="M499">
        <f ca="1">IFERROR(__xludf.DUMMYFUNCTION("""COMPUTED_VALUE"""),0)</f>
        <v>0</v>
      </c>
      <c r="N499" s="8"/>
    </row>
    <row r="500" spans="1:14" ht="12.45" hidden="1">
      <c r="A500" t="str">
        <f ca="1">IFERROR(__xludf.DUMMYFUNCTION("""COMPUTED_VALUE"""),"V-4-416")</f>
        <v>V-4-416</v>
      </c>
      <c r="B500" t="str">
        <f ca="1">IFERROR(__xludf.DUMMYFUNCTION("""COMPUTED_VALUE"""),"Седлова")</f>
        <v>Седлова</v>
      </c>
      <c r="C500" t="str">
        <f ca="1">IFERROR(__xludf.DUMMYFUNCTION("""COMPUTED_VALUE"""),"Анна")</f>
        <v>Анна</v>
      </c>
      <c r="D500" t="str">
        <f ca="1">IFERROR(__xludf.DUMMYFUNCTION("""COMPUTED_VALUE"""),"Лицей 29")</f>
        <v>Лицей 29</v>
      </c>
      <c r="E500" s="5"/>
      <c r="F500" s="5"/>
      <c r="G500" s="5"/>
      <c r="H500" s="5"/>
      <c r="I500" s="5"/>
      <c r="J500" s="5"/>
      <c r="K500" s="5"/>
      <c r="L500" s="5"/>
      <c r="M500">
        <f ca="1">IFERROR(__xludf.DUMMYFUNCTION("""COMPUTED_VALUE"""),0)</f>
        <v>0</v>
      </c>
      <c r="N500" s="8"/>
    </row>
    <row r="501" spans="1:14" ht="12.45" hidden="1">
      <c r="A501" t="str">
        <f ca="1">IFERROR(__xludf.DUMMYFUNCTION("""COMPUTED_VALUE"""),"V-4-417")</f>
        <v>V-4-417</v>
      </c>
      <c r="B501" t="str">
        <f ca="1">IFERROR(__xludf.DUMMYFUNCTION("""COMPUTED_VALUE"""),"Семенов")</f>
        <v>Семенов</v>
      </c>
      <c r="C501" t="str">
        <f ca="1">IFERROR(__xludf.DUMMYFUNCTION("""COMPUTED_VALUE"""),"Данила")</f>
        <v>Данила</v>
      </c>
      <c r="D501" t="str">
        <f ca="1">IFERROR(__xludf.DUMMYFUNCTION("""COMPUTED_VALUE"""),"Гимназия гимназия 271")</f>
        <v>Гимназия гимназия 271</v>
      </c>
      <c r="E501" s="5"/>
      <c r="F501" s="5"/>
      <c r="G501" s="5"/>
      <c r="H501" s="5"/>
      <c r="I501" s="5"/>
      <c r="J501" s="5"/>
      <c r="K501" s="5"/>
      <c r="L501" s="5"/>
      <c r="M501">
        <f ca="1">IFERROR(__xludf.DUMMYFUNCTION("""COMPUTED_VALUE"""),0)</f>
        <v>0</v>
      </c>
      <c r="N501" s="8"/>
    </row>
    <row r="502" spans="1:14" ht="12.45" hidden="1">
      <c r="A502" t="str">
        <f ca="1">IFERROR(__xludf.DUMMYFUNCTION("""COMPUTED_VALUE"""),"V-4-418")</f>
        <v>V-4-418</v>
      </c>
      <c r="B502" t="str">
        <f ca="1">IFERROR(__xludf.DUMMYFUNCTION("""COMPUTED_VALUE"""),"Сергиенко")</f>
        <v>Сергиенко</v>
      </c>
      <c r="C502" t="str">
        <f ca="1">IFERROR(__xludf.DUMMYFUNCTION("""COMPUTED_VALUE"""),"Яна")</f>
        <v>Яна</v>
      </c>
      <c r="D502" t="str">
        <f ca="1">IFERROR(__xludf.DUMMYFUNCTION("""COMPUTED_VALUE"""),"Лицей 30")</f>
        <v>Лицей 30</v>
      </c>
      <c r="E502" s="5"/>
      <c r="F502" s="5"/>
      <c r="G502" s="5"/>
      <c r="H502" s="5"/>
      <c r="I502" s="5"/>
      <c r="J502" s="5"/>
      <c r="K502" s="5"/>
      <c r="L502" s="5"/>
      <c r="M502">
        <f ca="1">IFERROR(__xludf.DUMMYFUNCTION("""COMPUTED_VALUE"""),0)</f>
        <v>0</v>
      </c>
      <c r="N502" s="8"/>
    </row>
    <row r="503" spans="1:14" ht="12.45" hidden="1">
      <c r="A503" t="str">
        <f ca="1">IFERROR(__xludf.DUMMYFUNCTION("""COMPUTED_VALUE"""),"V-4-419")</f>
        <v>V-4-419</v>
      </c>
      <c r="B503" t="str">
        <f ca="1">IFERROR(__xludf.DUMMYFUNCTION("""COMPUTED_VALUE"""),"Сероштан")</f>
        <v>Сероштан</v>
      </c>
      <c r="C503" t="str">
        <f ca="1">IFERROR(__xludf.DUMMYFUNCTION("""COMPUTED_VALUE"""),"Давид")</f>
        <v>Давид</v>
      </c>
      <c r="D503" t="str">
        <f ca="1">IFERROR(__xludf.DUMMYFUNCTION("""COMPUTED_VALUE"""),"Лицей 9")</f>
        <v>Лицей 9</v>
      </c>
      <c r="E503" s="5"/>
      <c r="F503" s="5"/>
      <c r="G503" s="5"/>
      <c r="H503" s="5"/>
      <c r="I503" s="5"/>
      <c r="J503" s="5"/>
      <c r="K503" s="5"/>
      <c r="L503" s="5"/>
      <c r="M503">
        <f ca="1">IFERROR(__xludf.DUMMYFUNCTION("""COMPUTED_VALUE"""),0)</f>
        <v>0</v>
      </c>
      <c r="N503" s="8"/>
    </row>
    <row r="504" spans="1:14" ht="12.45" hidden="1">
      <c r="A504" t="str">
        <f ca="1">IFERROR(__xludf.DUMMYFUNCTION("""COMPUTED_VALUE"""),"V-4-420")</f>
        <v>V-4-420</v>
      </c>
      <c r="B504" t="str">
        <f ca="1">IFERROR(__xludf.DUMMYFUNCTION("""COMPUTED_VALUE"""),"Сидорова")</f>
        <v>Сидорова</v>
      </c>
      <c r="C504" t="str">
        <f ca="1">IFERROR(__xludf.DUMMYFUNCTION("""COMPUTED_VALUE"""),"Арина")</f>
        <v>Арина</v>
      </c>
      <c r="D504" t="str">
        <f ca="1">IFERROR(__xludf.DUMMYFUNCTION("""COMPUTED_VALUE"""),"Школа Центр Луч")</f>
        <v>Школа Центр Луч</v>
      </c>
      <c r="E504" s="5"/>
      <c r="F504" s="5"/>
      <c r="G504" s="5"/>
      <c r="H504" s="5"/>
      <c r="I504" s="5"/>
      <c r="J504" s="5"/>
      <c r="K504" s="5"/>
      <c r="L504" s="5"/>
      <c r="M504">
        <f ca="1">IFERROR(__xludf.DUMMYFUNCTION("""COMPUTED_VALUE"""),0)</f>
        <v>0</v>
      </c>
      <c r="N504" s="8"/>
    </row>
    <row r="505" spans="1:14" ht="12.45" hidden="1">
      <c r="A505" t="str">
        <f ca="1">IFERROR(__xludf.DUMMYFUNCTION("""COMPUTED_VALUE"""),"V-4-423")</f>
        <v>V-4-423</v>
      </c>
      <c r="B505" t="str">
        <f ca="1">IFERROR(__xludf.DUMMYFUNCTION("""COMPUTED_VALUE"""),"Сиялов")</f>
        <v>Сиялов</v>
      </c>
      <c r="C505" t="str">
        <f ca="1">IFERROR(__xludf.DUMMYFUNCTION("""COMPUTED_VALUE"""),"Константин")</f>
        <v>Константин</v>
      </c>
      <c r="D505" t="str">
        <f ca="1">IFERROR(__xludf.DUMMYFUNCTION("""COMPUTED_VALUE"""),"Гимназия 83")</f>
        <v>Гимназия 83</v>
      </c>
      <c r="E505" s="5"/>
      <c r="F505" s="5"/>
      <c r="G505" s="5"/>
      <c r="H505" s="5"/>
      <c r="I505" s="5"/>
      <c r="J505" s="5"/>
      <c r="K505" s="5"/>
      <c r="L505" s="5"/>
      <c r="M505">
        <f ca="1">IFERROR(__xludf.DUMMYFUNCTION("""COMPUTED_VALUE"""),0)</f>
        <v>0</v>
      </c>
      <c r="N505" s="8"/>
    </row>
    <row r="506" spans="1:14" ht="12.45" hidden="1">
      <c r="A506" t="str">
        <f ca="1">IFERROR(__xludf.DUMMYFUNCTION("""COMPUTED_VALUE"""),"V-4-425")</f>
        <v>V-4-425</v>
      </c>
      <c r="B506" t="str">
        <f ca="1">IFERROR(__xludf.DUMMYFUNCTION("""COMPUTED_VALUE"""),"Слепченко")</f>
        <v>Слепченко</v>
      </c>
      <c r="C506" t="str">
        <f ca="1">IFERROR(__xludf.DUMMYFUNCTION("""COMPUTED_VALUE"""),"Кира")</f>
        <v>Кира</v>
      </c>
      <c r="D506" t="str">
        <f ca="1">IFERROR(__xludf.DUMMYFUNCTION("""COMPUTED_VALUE"""),"Лицей 41")</f>
        <v>Лицей 41</v>
      </c>
      <c r="E506" s="5"/>
      <c r="F506" s="5"/>
      <c r="G506" s="5"/>
      <c r="H506" s="5"/>
      <c r="I506" s="5"/>
      <c r="J506" s="5"/>
      <c r="K506" s="5"/>
      <c r="L506" s="5"/>
      <c r="M506">
        <f ca="1">IFERROR(__xludf.DUMMYFUNCTION("""COMPUTED_VALUE"""),0)</f>
        <v>0</v>
      </c>
      <c r="N506" s="8"/>
    </row>
    <row r="507" spans="1:14" ht="12.45" hidden="1">
      <c r="A507" t="str">
        <f ca="1">IFERROR(__xludf.DUMMYFUNCTION("""COMPUTED_VALUE"""),"V-4-434")</f>
        <v>V-4-434</v>
      </c>
      <c r="B507" t="str">
        <f ca="1">IFERROR(__xludf.DUMMYFUNCTION("""COMPUTED_VALUE"""),"Сосновских")</f>
        <v>Сосновских</v>
      </c>
      <c r="C507" t="str">
        <f ca="1">IFERROR(__xludf.DUMMYFUNCTION("""COMPUTED_VALUE"""),"Виктория")</f>
        <v>Виктория</v>
      </c>
      <c r="D507" t="str">
        <f ca="1">IFERROR(__xludf.DUMMYFUNCTION("""COMPUTED_VALUE"""),"Лицей 226")</f>
        <v>Лицей 226</v>
      </c>
      <c r="E507" s="5"/>
      <c r="F507" s="5"/>
      <c r="G507" s="5"/>
      <c r="H507" s="5"/>
      <c r="I507" s="5"/>
      <c r="J507" s="5"/>
      <c r="K507" s="5"/>
      <c r="L507" s="5"/>
      <c r="M507">
        <f ca="1">IFERROR(__xludf.DUMMYFUNCTION("""COMPUTED_VALUE"""),0)</f>
        <v>0</v>
      </c>
      <c r="N507" s="8"/>
    </row>
    <row r="508" spans="1:14" ht="12.45" hidden="1">
      <c r="A508" t="str">
        <f ca="1">IFERROR(__xludf.DUMMYFUNCTION("""COMPUTED_VALUE"""),"V-4-436")</f>
        <v>V-4-436</v>
      </c>
      <c r="B508" t="str">
        <f ca="1">IFERROR(__xludf.DUMMYFUNCTION("""COMPUTED_VALUE"""),"Стайсупова")</f>
        <v>Стайсупова</v>
      </c>
      <c r="C508" t="str">
        <f ca="1">IFERROR(__xludf.DUMMYFUNCTION("""COMPUTED_VALUE"""),"Марина")</f>
        <v>Марина</v>
      </c>
      <c r="D508" t="str">
        <f ca="1">IFERROR(__xludf.DUMMYFUNCTION("""COMPUTED_VALUE"""),"Школа 619")</f>
        <v>Школа 619</v>
      </c>
      <c r="E508" s="5"/>
      <c r="F508" s="5"/>
      <c r="G508" s="5"/>
      <c r="H508" s="5"/>
      <c r="I508" s="5"/>
      <c r="J508" s="5"/>
      <c r="K508" s="5"/>
      <c r="L508" s="5"/>
      <c r="M508">
        <f ca="1">IFERROR(__xludf.DUMMYFUNCTION("""COMPUTED_VALUE"""),0)</f>
        <v>0</v>
      </c>
      <c r="N508" s="8"/>
    </row>
    <row r="509" spans="1:14" ht="12.45" hidden="1">
      <c r="A509" t="str">
        <f ca="1">IFERROR(__xludf.DUMMYFUNCTION("""COMPUTED_VALUE"""),"V-4-437")</f>
        <v>V-4-437</v>
      </c>
      <c r="B509" t="str">
        <f ca="1">IFERROR(__xludf.DUMMYFUNCTION("""COMPUTED_VALUE"""),"Станкевич")</f>
        <v>Станкевич</v>
      </c>
      <c r="C509" t="str">
        <f ca="1">IFERROR(__xludf.DUMMYFUNCTION("""COMPUTED_VALUE"""),"Тимофей")</f>
        <v>Тимофей</v>
      </c>
      <c r="D509" t="str">
        <f ca="1">IFERROR(__xludf.DUMMYFUNCTION("""COMPUTED_VALUE"""),"Гимназия 524")</f>
        <v>Гимназия 524</v>
      </c>
      <c r="E509" s="5"/>
      <c r="F509" s="5"/>
      <c r="G509" s="5"/>
      <c r="H509" s="5"/>
      <c r="I509" s="5"/>
      <c r="J509" s="5"/>
      <c r="K509" s="5"/>
      <c r="L509" s="5"/>
      <c r="M509">
        <f ca="1">IFERROR(__xludf.DUMMYFUNCTION("""COMPUTED_VALUE"""),0)</f>
        <v>0</v>
      </c>
      <c r="N509" s="8"/>
    </row>
    <row r="510" spans="1:14" ht="12.45" hidden="1">
      <c r="A510" t="str">
        <f ca="1">IFERROR(__xludf.DUMMYFUNCTION("""COMPUTED_VALUE"""),"V-4-440")</f>
        <v>V-4-440</v>
      </c>
      <c r="B510" t="str">
        <f ca="1">IFERROR(__xludf.DUMMYFUNCTION("""COMPUTED_VALUE"""),"Стенина")</f>
        <v>Стенина</v>
      </c>
      <c r="C510" t="str">
        <f ca="1">IFERROR(__xludf.DUMMYFUNCTION("""COMPUTED_VALUE"""),"Мария")</f>
        <v>Мария</v>
      </c>
      <c r="D510" t="str">
        <f ca="1">IFERROR(__xludf.DUMMYFUNCTION("""COMPUTED_VALUE"""),"Лицей 597")</f>
        <v>Лицей 597</v>
      </c>
      <c r="E510" s="5"/>
      <c r="F510" s="5"/>
      <c r="G510" s="5"/>
      <c r="H510" s="5"/>
      <c r="I510" s="5"/>
      <c r="J510" s="5"/>
      <c r="K510" s="5"/>
      <c r="L510" s="5"/>
      <c r="M510">
        <f ca="1">IFERROR(__xludf.DUMMYFUNCTION("""COMPUTED_VALUE"""),0)</f>
        <v>0</v>
      </c>
      <c r="N510" s="8"/>
    </row>
    <row r="511" spans="1:14" ht="12.45" hidden="1">
      <c r="A511" t="str">
        <f ca="1">IFERROR(__xludf.DUMMYFUNCTION("""COMPUTED_VALUE"""),"V-4-441")</f>
        <v>V-4-441</v>
      </c>
      <c r="B511" t="str">
        <f ca="1">IFERROR(__xludf.DUMMYFUNCTION("""COMPUTED_VALUE"""),"Степанова")</f>
        <v>Степанова</v>
      </c>
      <c r="C511" t="str">
        <f ca="1">IFERROR(__xludf.DUMMYFUNCTION("""COMPUTED_VALUE"""),"Кира")</f>
        <v>Кира</v>
      </c>
      <c r="D511" t="str">
        <f ca="1">IFERROR(__xludf.DUMMYFUNCTION("""COMPUTED_VALUE"""),"Школа 619")</f>
        <v>Школа 619</v>
      </c>
      <c r="E511" s="5"/>
      <c r="F511" s="5"/>
      <c r="G511" s="5"/>
      <c r="H511" s="5"/>
      <c r="I511" s="5"/>
      <c r="J511" s="5"/>
      <c r="K511" s="5"/>
      <c r="L511" s="5"/>
      <c r="M511">
        <f ca="1">IFERROR(__xludf.DUMMYFUNCTION("""COMPUTED_VALUE"""),0)</f>
        <v>0</v>
      </c>
      <c r="N511" s="8"/>
    </row>
    <row r="512" spans="1:14" ht="12.45" hidden="1">
      <c r="A512" t="str">
        <f ca="1">IFERROR(__xludf.DUMMYFUNCTION("""COMPUTED_VALUE"""),"V-4-442")</f>
        <v>V-4-442</v>
      </c>
      <c r="B512" t="str">
        <f ca="1">IFERROR(__xludf.DUMMYFUNCTION("""COMPUTED_VALUE"""),"Столбова")</f>
        <v>Столбова</v>
      </c>
      <c r="C512" t="str">
        <f ca="1">IFERROR(__xludf.DUMMYFUNCTION("""COMPUTED_VALUE"""),"Екатерина")</f>
        <v>Екатерина</v>
      </c>
      <c r="D512" t="str">
        <f ca="1">IFERROR(__xludf.DUMMYFUNCTION("""COMPUTED_VALUE"""),"Гимназия 83")</f>
        <v>Гимназия 83</v>
      </c>
      <c r="E512" s="5"/>
      <c r="F512" s="5"/>
      <c r="G512" s="5"/>
      <c r="H512" s="5"/>
      <c r="I512" s="5"/>
      <c r="J512" s="5"/>
      <c r="K512" s="5"/>
      <c r="L512" s="5"/>
      <c r="M512">
        <f ca="1">IFERROR(__xludf.DUMMYFUNCTION("""COMPUTED_VALUE"""),0)</f>
        <v>0</v>
      </c>
      <c r="N512" s="8"/>
    </row>
    <row r="513" spans="1:14" ht="12.45" hidden="1">
      <c r="A513" t="str">
        <f ca="1">IFERROR(__xludf.DUMMYFUNCTION("""COMPUTED_VALUE"""),"V-4-448")</f>
        <v>V-4-448</v>
      </c>
      <c r="B513" t="str">
        <f ca="1">IFERROR(__xludf.DUMMYFUNCTION("""COMPUTED_VALUE"""),"Султанова")</f>
        <v>Султанова</v>
      </c>
      <c r="C513" t="str">
        <f ca="1">IFERROR(__xludf.DUMMYFUNCTION("""COMPUTED_VALUE"""),"София")</f>
        <v>София</v>
      </c>
      <c r="D513" t="str">
        <f ca="1">IFERROR(__xludf.DUMMYFUNCTION("""COMPUTED_VALUE"""),"Школа 619")</f>
        <v>Школа 619</v>
      </c>
      <c r="E513" s="5"/>
      <c r="F513" s="5"/>
      <c r="G513" s="5"/>
      <c r="H513" s="5"/>
      <c r="I513" s="5"/>
      <c r="J513" s="5"/>
      <c r="K513" s="5"/>
      <c r="L513" s="5"/>
      <c r="M513">
        <f ca="1">IFERROR(__xludf.DUMMYFUNCTION("""COMPUTED_VALUE"""),0)</f>
        <v>0</v>
      </c>
      <c r="N513" s="8"/>
    </row>
    <row r="514" spans="1:14" ht="12.45" hidden="1">
      <c r="A514" t="str">
        <f ca="1">IFERROR(__xludf.DUMMYFUNCTION("""COMPUTED_VALUE"""),"V-4-451")</f>
        <v>V-4-451</v>
      </c>
      <c r="B514" t="str">
        <f ca="1">IFERROR(__xludf.DUMMYFUNCTION("""COMPUTED_VALUE"""),"Сухенко")</f>
        <v>Сухенко</v>
      </c>
      <c r="C514" t="str">
        <f ca="1">IFERROR(__xludf.DUMMYFUNCTION("""COMPUTED_VALUE"""),"Василиса")</f>
        <v>Василиса</v>
      </c>
      <c r="D514" t="str">
        <f ca="1">IFERROR(__xludf.DUMMYFUNCTION("""COMPUTED_VALUE"""),"Гимназия 642")</f>
        <v>Гимназия 642</v>
      </c>
      <c r="E514" s="5"/>
      <c r="F514" s="5"/>
      <c r="G514" s="5"/>
      <c r="H514" s="5"/>
      <c r="I514" s="5"/>
      <c r="J514" s="5"/>
      <c r="K514" s="5"/>
      <c r="L514" s="5"/>
      <c r="M514">
        <f ca="1">IFERROR(__xludf.DUMMYFUNCTION("""COMPUTED_VALUE"""),0)</f>
        <v>0</v>
      </c>
      <c r="N514" s="8"/>
    </row>
    <row r="515" spans="1:14" ht="12.45" hidden="1">
      <c r="A515" t="str">
        <f ca="1">IFERROR(__xludf.DUMMYFUNCTION("""COMPUTED_VALUE"""),"V-4-453")</f>
        <v>V-4-453</v>
      </c>
      <c r="B515" t="str">
        <f ca="1">IFERROR(__xludf.DUMMYFUNCTION("""COMPUTED_VALUE"""),"Сысоев")</f>
        <v>Сысоев</v>
      </c>
      <c r="C515" t="str">
        <f ca="1">IFERROR(__xludf.DUMMYFUNCTION("""COMPUTED_VALUE"""),"Никита")</f>
        <v>Никита</v>
      </c>
      <c r="D515" t="str">
        <f ca="1">IFERROR(__xludf.DUMMYFUNCTION("""COMPUTED_VALUE"""),"Школа 571")</f>
        <v>Школа 571</v>
      </c>
      <c r="E515" s="5"/>
      <c r="F515" s="5"/>
      <c r="G515" s="5"/>
      <c r="H515" s="5"/>
      <c r="I515" s="5"/>
      <c r="J515" s="5"/>
      <c r="K515" s="5"/>
      <c r="L515" s="5"/>
      <c r="M515">
        <f ca="1">IFERROR(__xludf.DUMMYFUNCTION("""COMPUTED_VALUE"""),0)</f>
        <v>0</v>
      </c>
      <c r="N515" s="8"/>
    </row>
    <row r="516" spans="1:14" ht="12.45" hidden="1">
      <c r="A516" t="str">
        <f ca="1">IFERROR(__xludf.DUMMYFUNCTION("""COMPUTED_VALUE"""),"V-4-459")</f>
        <v>V-4-459</v>
      </c>
      <c r="B516" t="str">
        <f ca="1">IFERROR(__xludf.DUMMYFUNCTION("""COMPUTED_VALUE"""),"Тузова")</f>
        <v>Тузова</v>
      </c>
      <c r="C516" t="str">
        <f ca="1">IFERROR(__xludf.DUMMYFUNCTION("""COMPUTED_VALUE"""),"Екатерина")</f>
        <v>Екатерина</v>
      </c>
      <c r="D516" t="str">
        <f ca="1">IFERROR(__xludf.DUMMYFUNCTION("""COMPUTED_VALUE"""),"Школа 589")</f>
        <v>Школа 589</v>
      </c>
      <c r="E516" s="5"/>
      <c r="F516" s="5"/>
      <c r="G516" s="5"/>
      <c r="H516" s="5"/>
      <c r="I516" s="5"/>
      <c r="J516" s="5"/>
      <c r="K516" s="5"/>
      <c r="L516" s="5"/>
      <c r="M516">
        <f ca="1">IFERROR(__xludf.DUMMYFUNCTION("""COMPUTED_VALUE"""),0)</f>
        <v>0</v>
      </c>
      <c r="N516" s="8"/>
    </row>
    <row r="517" spans="1:14" ht="12.45" hidden="1">
      <c r="A517" t="str">
        <f ca="1">IFERROR(__xludf.DUMMYFUNCTION("""COMPUTED_VALUE"""),"V-4-466")</f>
        <v>V-4-466</v>
      </c>
      <c r="B517" t="str">
        <f ca="1">IFERROR(__xludf.DUMMYFUNCTION("""COMPUTED_VALUE"""),"Фадеенко")</f>
        <v>Фадеенко</v>
      </c>
      <c r="C517" t="str">
        <f ca="1">IFERROR(__xludf.DUMMYFUNCTION("""COMPUTED_VALUE"""),"Ева")</f>
        <v>Ева</v>
      </c>
      <c r="D517" t="str">
        <f ca="1">IFERROR(__xludf.DUMMYFUNCTION("""COMPUTED_VALUE"""),"Школа 246")</f>
        <v>Школа 246</v>
      </c>
      <c r="E517" s="5"/>
      <c r="F517" s="5"/>
      <c r="G517" s="5"/>
      <c r="H517" s="5"/>
      <c r="I517" s="5"/>
      <c r="J517" s="5"/>
      <c r="K517" s="5"/>
      <c r="L517" s="5"/>
      <c r="M517">
        <f ca="1">IFERROR(__xludf.DUMMYFUNCTION("""COMPUTED_VALUE"""),0)</f>
        <v>0</v>
      </c>
      <c r="N517" s="8"/>
    </row>
    <row r="518" spans="1:14" ht="12.45" hidden="1">
      <c r="A518" t="str">
        <f ca="1">IFERROR(__xludf.DUMMYFUNCTION("""COMPUTED_VALUE"""),"V-4-467")</f>
        <v>V-4-467</v>
      </c>
      <c r="B518" t="str">
        <f ca="1">IFERROR(__xludf.DUMMYFUNCTION("""COMPUTED_VALUE"""),"Фазанов")</f>
        <v>Фазанов</v>
      </c>
      <c r="C518" t="str">
        <f ca="1">IFERROR(__xludf.DUMMYFUNCTION("""COMPUTED_VALUE"""),"Мирослав")</f>
        <v>Мирослав</v>
      </c>
      <c r="D518" t="str">
        <f ca="1">IFERROR(__xludf.DUMMYFUNCTION("""COMPUTED_VALUE"""),"Гимназия 74")</f>
        <v>Гимназия 74</v>
      </c>
      <c r="E518" s="5"/>
      <c r="F518" s="5"/>
      <c r="G518" s="5"/>
      <c r="H518" s="5"/>
      <c r="I518" s="5"/>
      <c r="J518" s="5"/>
      <c r="K518" s="5"/>
      <c r="L518" s="5"/>
      <c r="M518">
        <f ca="1">IFERROR(__xludf.DUMMYFUNCTION("""COMPUTED_VALUE"""),0)</f>
        <v>0</v>
      </c>
      <c r="N518" s="8"/>
    </row>
    <row r="519" spans="1:14" ht="12.45" hidden="1">
      <c r="A519" t="str">
        <f ca="1">IFERROR(__xludf.DUMMYFUNCTION("""COMPUTED_VALUE"""),"V-4-470")</f>
        <v>V-4-470</v>
      </c>
      <c r="B519" t="str">
        <f ca="1">IFERROR(__xludf.DUMMYFUNCTION("""COMPUTED_VALUE"""),"Фёдоров")</f>
        <v>Фёдоров</v>
      </c>
      <c r="C519" t="str">
        <f ca="1">IFERROR(__xludf.DUMMYFUNCTION("""COMPUTED_VALUE"""),"Кирилл")</f>
        <v>Кирилл</v>
      </c>
      <c r="D519" t="str">
        <f ca="1">IFERROR(__xludf.DUMMYFUNCTION("""COMPUTED_VALUE"""),"Школа 489")</f>
        <v>Школа 489</v>
      </c>
      <c r="E519" s="5"/>
      <c r="F519" s="5"/>
      <c r="G519" s="5"/>
      <c r="H519" s="5"/>
      <c r="I519" s="5"/>
      <c r="J519" s="5"/>
      <c r="K519" s="5"/>
      <c r="L519" s="5"/>
      <c r="M519">
        <f ca="1">IFERROR(__xludf.DUMMYFUNCTION("""COMPUTED_VALUE"""),0)</f>
        <v>0</v>
      </c>
      <c r="N519" s="8"/>
    </row>
    <row r="520" spans="1:14" ht="12.45" hidden="1">
      <c r="A520" t="str">
        <f ca="1">IFERROR(__xludf.DUMMYFUNCTION("""COMPUTED_VALUE"""),"V-4-471")</f>
        <v>V-4-471</v>
      </c>
      <c r="B520" t="str">
        <f ca="1">IFERROR(__xludf.DUMMYFUNCTION("""COMPUTED_VALUE"""),"Федоров")</f>
        <v>Федоров</v>
      </c>
      <c r="C520" t="str">
        <f ca="1">IFERROR(__xludf.DUMMYFUNCTION("""COMPUTED_VALUE"""),"Никита")</f>
        <v>Никита</v>
      </c>
      <c r="D520" t="str">
        <f ca="1">IFERROR(__xludf.DUMMYFUNCTION("""COMPUTED_VALUE"""),"Гимназия 105")</f>
        <v>Гимназия 105</v>
      </c>
      <c r="E520" s="5"/>
      <c r="F520" s="5"/>
      <c r="G520" s="5"/>
      <c r="H520" s="5"/>
      <c r="I520" s="5"/>
      <c r="J520" s="5"/>
      <c r="K520" s="5"/>
      <c r="L520" s="5"/>
      <c r="M520">
        <f ca="1">IFERROR(__xludf.DUMMYFUNCTION("""COMPUTED_VALUE"""),0)</f>
        <v>0</v>
      </c>
      <c r="N520" s="8"/>
    </row>
    <row r="521" spans="1:14" ht="12.45" hidden="1">
      <c r="A521" t="str">
        <f ca="1">IFERROR(__xludf.DUMMYFUNCTION("""COMPUTED_VALUE"""),"V-4-476")</f>
        <v>V-4-476</v>
      </c>
      <c r="B521" t="str">
        <f ca="1">IFERROR(__xludf.DUMMYFUNCTION("""COMPUTED_VALUE"""),"Фрадкин")</f>
        <v>Фрадкин</v>
      </c>
      <c r="C521" t="str">
        <f ca="1">IFERROR(__xludf.DUMMYFUNCTION("""COMPUTED_VALUE"""),"Иван")</f>
        <v>Иван</v>
      </c>
      <c r="D521" t="str">
        <f ca="1">IFERROR(__xludf.DUMMYFUNCTION("""COMPUTED_VALUE"""),"Гимназия 107")</f>
        <v>Гимназия 107</v>
      </c>
      <c r="E521" s="5"/>
      <c r="F521" s="5"/>
      <c r="G521" s="5"/>
      <c r="H521" s="5">
        <f ca="1">IFERROR(__xludf.DUMMYFUNCTION("""COMPUTED_VALUE"""),0)</f>
        <v>0</v>
      </c>
      <c r="I521" s="5"/>
      <c r="J521" s="5"/>
      <c r="K521" s="5"/>
      <c r="L521" s="5"/>
      <c r="M521">
        <f ca="1">IFERROR(__xludf.DUMMYFUNCTION("""COMPUTED_VALUE"""),0)</f>
        <v>0</v>
      </c>
      <c r="N521" s="8"/>
    </row>
    <row r="522" spans="1:14" ht="12.45" hidden="1">
      <c r="A522" t="str">
        <f ca="1">IFERROR(__xludf.DUMMYFUNCTION("""COMPUTED_VALUE"""),"V-4-477")</f>
        <v>V-4-477</v>
      </c>
      <c r="B522" t="str">
        <f ca="1">IFERROR(__xludf.DUMMYFUNCTION("""COMPUTED_VALUE"""),"Фролова")</f>
        <v>Фролова</v>
      </c>
      <c r="C522" t="str">
        <f ca="1">IFERROR(__xludf.DUMMYFUNCTION("""COMPUTED_VALUE"""),"София")</f>
        <v>София</v>
      </c>
      <c r="D522" t="str">
        <f ca="1">IFERROR(__xludf.DUMMYFUNCTION("""COMPUTED_VALUE"""),"Лицей 597")</f>
        <v>Лицей 597</v>
      </c>
      <c r="E522" s="5"/>
      <c r="F522" s="5"/>
      <c r="G522" s="5"/>
      <c r="H522" s="5"/>
      <c r="I522" s="5"/>
      <c r="J522" s="5"/>
      <c r="K522" s="5"/>
      <c r="L522" s="5"/>
      <c r="M522">
        <f ca="1">IFERROR(__xludf.DUMMYFUNCTION("""COMPUTED_VALUE"""),0)</f>
        <v>0</v>
      </c>
      <c r="N522" s="8"/>
    </row>
    <row r="523" spans="1:14" ht="12.45" hidden="1">
      <c r="A523" t="str">
        <f ca="1">IFERROR(__xludf.DUMMYFUNCTION("""COMPUTED_VALUE"""),"V-4-478")</f>
        <v>V-4-478</v>
      </c>
      <c r="B523" t="str">
        <f ca="1">IFERROR(__xludf.DUMMYFUNCTION("""COMPUTED_VALUE"""),"Хазина")</f>
        <v>Хазина</v>
      </c>
      <c r="C523" t="str">
        <f ca="1">IFERROR(__xludf.DUMMYFUNCTION("""COMPUTED_VALUE"""),"Валерия")</f>
        <v>Валерия</v>
      </c>
      <c r="D523" t="str">
        <f ca="1">IFERROR(__xludf.DUMMYFUNCTION("""COMPUTED_VALUE"""),"Гимназия 56")</f>
        <v>Гимназия 56</v>
      </c>
      <c r="E523" s="5"/>
      <c r="F523" s="5"/>
      <c r="G523" s="5"/>
      <c r="H523" s="5"/>
      <c r="I523" s="5"/>
      <c r="J523" s="5"/>
      <c r="K523" s="5"/>
      <c r="L523" s="5"/>
      <c r="M523">
        <f ca="1">IFERROR(__xludf.DUMMYFUNCTION("""COMPUTED_VALUE"""),0)</f>
        <v>0</v>
      </c>
      <c r="N523" s="8"/>
    </row>
    <row r="524" spans="1:14" ht="12.45" hidden="1">
      <c r="A524" t="str">
        <f ca="1">IFERROR(__xludf.DUMMYFUNCTION("""COMPUTED_VALUE"""),"V-4-494")</f>
        <v>V-4-494</v>
      </c>
      <c r="B524" t="str">
        <f ca="1">IFERROR(__xludf.DUMMYFUNCTION("""COMPUTED_VALUE"""),"Чучалина")</f>
        <v>Чучалина</v>
      </c>
      <c r="C524" t="str">
        <f ca="1">IFERROR(__xludf.DUMMYFUNCTION("""COMPUTED_VALUE"""),"Капитолина")</f>
        <v>Капитолина</v>
      </c>
      <c r="D524" t="str">
        <f ca="1">IFERROR(__xludf.DUMMYFUNCTION("""COMPUTED_VALUE"""),"Лицей 41")</f>
        <v>Лицей 41</v>
      </c>
      <c r="E524" s="5"/>
      <c r="F524" s="5"/>
      <c r="G524" s="5"/>
      <c r="H524" s="5"/>
      <c r="I524" s="5"/>
      <c r="J524" s="5"/>
      <c r="K524" s="5"/>
      <c r="L524" s="5"/>
      <c r="M524">
        <f ca="1">IFERROR(__xludf.DUMMYFUNCTION("""COMPUTED_VALUE"""),0)</f>
        <v>0</v>
      </c>
      <c r="N524" s="8"/>
    </row>
    <row r="525" spans="1:14" ht="12.45" hidden="1">
      <c r="A525" t="str">
        <f ca="1">IFERROR(__xludf.DUMMYFUNCTION("""COMPUTED_VALUE"""),"V-4-495")</f>
        <v>V-4-495</v>
      </c>
      <c r="B525" t="str">
        <f ca="1">IFERROR(__xludf.DUMMYFUNCTION("""COMPUTED_VALUE"""),"Шаповалова")</f>
        <v>Шаповалова</v>
      </c>
      <c r="C525" t="str">
        <f ca="1">IFERROR(__xludf.DUMMYFUNCTION("""COMPUTED_VALUE"""),"Полина")</f>
        <v>Полина</v>
      </c>
      <c r="D525" t="str">
        <f ca="1">IFERROR(__xludf.DUMMYFUNCTION("""COMPUTED_VALUE"""),"Лицей 9")</f>
        <v>Лицей 9</v>
      </c>
      <c r="E525" s="5"/>
      <c r="F525" s="5"/>
      <c r="G525" s="5"/>
      <c r="H525" s="5"/>
      <c r="I525" s="5"/>
      <c r="J525" s="5"/>
      <c r="K525" s="5"/>
      <c r="L525" s="5"/>
      <c r="M525">
        <f ca="1">IFERROR(__xludf.DUMMYFUNCTION("""COMPUTED_VALUE"""),0)</f>
        <v>0</v>
      </c>
      <c r="N525" s="8"/>
    </row>
    <row r="526" spans="1:14" ht="12.45" hidden="1">
      <c r="A526" t="str">
        <f ca="1">IFERROR(__xludf.DUMMYFUNCTION("""COMPUTED_VALUE"""),"V-4-498")</f>
        <v>V-4-498</v>
      </c>
      <c r="B526" t="str">
        <f ca="1">IFERROR(__xludf.DUMMYFUNCTION("""COMPUTED_VALUE"""),"Шафранов")</f>
        <v>Шафранов</v>
      </c>
      <c r="C526" t="str">
        <f ca="1">IFERROR(__xludf.DUMMYFUNCTION("""COMPUTED_VALUE"""),"Александр")</f>
        <v>Александр</v>
      </c>
      <c r="D526" t="str">
        <f ca="1">IFERROR(__xludf.DUMMYFUNCTION("""COMPUTED_VALUE"""),"Школа 36")</f>
        <v>Школа 36</v>
      </c>
      <c r="E526" s="5"/>
      <c r="F526" s="5"/>
      <c r="G526" s="5"/>
      <c r="H526" s="5"/>
      <c r="I526" s="5"/>
      <c r="J526" s="5"/>
      <c r="K526" s="5"/>
      <c r="L526" s="5"/>
      <c r="M526">
        <f ca="1">IFERROR(__xludf.DUMMYFUNCTION("""COMPUTED_VALUE"""),0)</f>
        <v>0</v>
      </c>
      <c r="N526" s="8"/>
    </row>
    <row r="527" spans="1:14" ht="12.45" hidden="1">
      <c r="A527" t="str">
        <f ca="1">IFERROR(__xludf.DUMMYFUNCTION("""COMPUTED_VALUE"""),"V-4-499")</f>
        <v>V-4-499</v>
      </c>
      <c r="B527" t="str">
        <f ca="1">IFERROR(__xludf.DUMMYFUNCTION("""COMPUTED_VALUE"""),"Швед")</f>
        <v>Швед</v>
      </c>
      <c r="C527" t="str">
        <f ca="1">IFERROR(__xludf.DUMMYFUNCTION("""COMPUTED_VALUE"""),"Алексей")</f>
        <v>Алексей</v>
      </c>
      <c r="D527" t="str">
        <f ca="1">IFERROR(__xludf.DUMMYFUNCTION("""COMPUTED_VALUE"""),"Школа 619")</f>
        <v>Школа 619</v>
      </c>
      <c r="E527" s="5">
        <f ca="1">IFERROR(__xludf.DUMMYFUNCTION("""COMPUTED_VALUE"""),0)</f>
        <v>0</v>
      </c>
      <c r="F527" s="5"/>
      <c r="G527" s="5"/>
      <c r="H527" s="5"/>
      <c r="I527" s="5"/>
      <c r="J527" s="5"/>
      <c r="K527" s="5"/>
      <c r="L527" s="5"/>
      <c r="M527">
        <f ca="1">IFERROR(__xludf.DUMMYFUNCTION("""COMPUTED_VALUE"""),0)</f>
        <v>0</v>
      </c>
      <c r="N527" s="8"/>
    </row>
    <row r="528" spans="1:14" ht="12.45" hidden="1">
      <c r="A528" t="str">
        <f ca="1">IFERROR(__xludf.DUMMYFUNCTION("""COMPUTED_VALUE"""),"V-4-503")</f>
        <v>V-4-503</v>
      </c>
      <c r="B528" t="str">
        <f ca="1">IFERROR(__xludf.DUMMYFUNCTION("""COMPUTED_VALUE"""),"Шевякова")</f>
        <v>Шевякова</v>
      </c>
      <c r="C528" t="str">
        <f ca="1">IFERROR(__xludf.DUMMYFUNCTION("""COMPUTED_VALUE"""),"Алена")</f>
        <v>Алена</v>
      </c>
      <c r="D528" t="str">
        <f ca="1">IFERROR(__xludf.DUMMYFUNCTION("""COMPUTED_VALUE"""),"Лицей 29")</f>
        <v>Лицей 29</v>
      </c>
      <c r="E528" s="5"/>
      <c r="F528" s="5"/>
      <c r="G528" s="5"/>
      <c r="H528" s="5"/>
      <c r="I528" s="5"/>
      <c r="J528" s="5"/>
      <c r="K528" s="5"/>
      <c r="L528" s="5"/>
      <c r="M528">
        <f ca="1">IFERROR(__xludf.DUMMYFUNCTION("""COMPUTED_VALUE"""),0)</f>
        <v>0</v>
      </c>
      <c r="N528" s="8"/>
    </row>
    <row r="529" spans="1:14" ht="12.45" hidden="1">
      <c r="A529" t="str">
        <f ca="1">IFERROR(__xludf.DUMMYFUNCTION("""COMPUTED_VALUE"""),"V-4-504")</f>
        <v>V-4-504</v>
      </c>
      <c r="B529" t="str">
        <f ca="1">IFERROR(__xludf.DUMMYFUNCTION("""COMPUTED_VALUE"""),"Шелашская")</f>
        <v>Шелашская</v>
      </c>
      <c r="C529" t="str">
        <f ca="1">IFERROR(__xludf.DUMMYFUNCTION("""COMPUTED_VALUE"""),"Ольга")</f>
        <v>Ольга</v>
      </c>
      <c r="D529" t="str">
        <f ca="1">IFERROR(__xludf.DUMMYFUNCTION("""COMPUTED_VALUE"""),"Школа 536")</f>
        <v>Школа 536</v>
      </c>
      <c r="E529" s="5"/>
      <c r="F529" s="5"/>
      <c r="G529" s="5"/>
      <c r="H529" s="5"/>
      <c r="I529" s="5"/>
      <c r="J529" s="5"/>
      <c r="K529" s="5"/>
      <c r="L529" s="5"/>
      <c r="M529">
        <f ca="1">IFERROR(__xludf.DUMMYFUNCTION("""COMPUTED_VALUE"""),0)</f>
        <v>0</v>
      </c>
      <c r="N529" s="8"/>
    </row>
    <row r="530" spans="1:14" ht="12.45" hidden="1">
      <c r="A530" t="str">
        <f ca="1">IFERROR(__xludf.DUMMYFUNCTION("""COMPUTED_VALUE"""),"V-4-505")</f>
        <v>V-4-505</v>
      </c>
      <c r="B530" t="str">
        <f ca="1">IFERROR(__xludf.DUMMYFUNCTION("""COMPUTED_VALUE"""),"Шестаков")</f>
        <v>Шестаков</v>
      </c>
      <c r="C530" t="str">
        <f ca="1">IFERROR(__xludf.DUMMYFUNCTION("""COMPUTED_VALUE"""),"Роман")</f>
        <v>Роман</v>
      </c>
      <c r="D530" t="str">
        <f ca="1">IFERROR(__xludf.DUMMYFUNCTION("""COMPUTED_VALUE"""),"Школа Центр Луч")</f>
        <v>Школа Центр Луч</v>
      </c>
      <c r="E530" s="5"/>
      <c r="F530" s="5"/>
      <c r="G530" s="5"/>
      <c r="H530" s="5"/>
      <c r="I530" s="5"/>
      <c r="J530" s="5"/>
      <c r="K530" s="5"/>
      <c r="L530" s="5"/>
      <c r="M530">
        <f ca="1">IFERROR(__xludf.DUMMYFUNCTION("""COMPUTED_VALUE"""),0)</f>
        <v>0</v>
      </c>
      <c r="N530" s="8"/>
    </row>
    <row r="531" spans="1:14" ht="12.45" hidden="1">
      <c r="A531" t="str">
        <f ca="1">IFERROR(__xludf.DUMMYFUNCTION("""COMPUTED_VALUE"""),"V-4-507")</f>
        <v>V-4-507</v>
      </c>
      <c r="B531" t="str">
        <f ca="1">IFERROR(__xludf.DUMMYFUNCTION("""COMPUTED_VALUE"""),"Шиленко")</f>
        <v>Шиленко</v>
      </c>
      <c r="C531" t="str">
        <f ca="1">IFERROR(__xludf.DUMMYFUNCTION("""COMPUTED_VALUE"""),"Анастасия")</f>
        <v>Анастасия</v>
      </c>
      <c r="D531" t="str">
        <f ca="1">IFERROR(__xludf.DUMMYFUNCTION("""COMPUTED_VALUE"""),"Школа 544")</f>
        <v>Школа 544</v>
      </c>
      <c r="E531" s="5"/>
      <c r="F531" s="5"/>
      <c r="G531" s="5"/>
      <c r="H531" s="5"/>
      <c r="I531" s="5"/>
      <c r="J531" s="5"/>
      <c r="K531" s="5"/>
      <c r="L531" s="5"/>
      <c r="M531">
        <f ca="1">IFERROR(__xludf.DUMMYFUNCTION("""COMPUTED_VALUE"""),0)</f>
        <v>0</v>
      </c>
      <c r="N531" s="8"/>
    </row>
    <row r="532" spans="1:14" ht="12.45" hidden="1">
      <c r="A532" t="str">
        <f ca="1">IFERROR(__xludf.DUMMYFUNCTION("""COMPUTED_VALUE"""),"V-4-518")</f>
        <v>V-4-518</v>
      </c>
      <c r="B532" t="str">
        <f ca="1">IFERROR(__xludf.DUMMYFUNCTION("""COMPUTED_VALUE"""),"Шымболатов")</f>
        <v>Шымболатов</v>
      </c>
      <c r="C532" t="str">
        <f ca="1">IFERROR(__xludf.DUMMYFUNCTION("""COMPUTED_VALUE"""),"Эмир")</f>
        <v>Эмир</v>
      </c>
      <c r="D532" t="str">
        <f ca="1">IFERROR(__xludf.DUMMYFUNCTION("""COMPUTED_VALUE"""),"Гимназия Вторая")</f>
        <v>Гимназия Вторая</v>
      </c>
      <c r="E532" s="5"/>
      <c r="F532" s="5"/>
      <c r="G532" s="5"/>
      <c r="H532" s="5"/>
      <c r="I532" s="5"/>
      <c r="J532" s="5"/>
      <c r="K532" s="5"/>
      <c r="L532" s="5"/>
      <c r="M532">
        <f ca="1">IFERROR(__xludf.DUMMYFUNCTION("""COMPUTED_VALUE"""),0)</f>
        <v>0</v>
      </c>
      <c r="N532" s="8"/>
    </row>
    <row r="533" spans="1:14" ht="12.45" hidden="1">
      <c r="A533" t="str">
        <f ca="1">IFERROR(__xludf.DUMMYFUNCTION("""COMPUTED_VALUE"""),"V-4-519")</f>
        <v>V-4-519</v>
      </c>
      <c r="B533" t="str">
        <f ca="1">IFERROR(__xludf.DUMMYFUNCTION("""COMPUTED_VALUE"""),"Щеглова")</f>
        <v>Щеглова</v>
      </c>
      <c r="C533" t="str">
        <f ca="1">IFERROR(__xludf.DUMMYFUNCTION("""COMPUTED_VALUE"""),"Варвара")</f>
        <v>Варвара</v>
      </c>
      <c r="D533" t="str">
        <f ca="1">IFERROR(__xludf.DUMMYFUNCTION("""COMPUTED_VALUE"""),"Школа 358")</f>
        <v>Школа 358</v>
      </c>
      <c r="E533" s="5"/>
      <c r="F533" s="5"/>
      <c r="G533" s="5"/>
      <c r="H533" s="5"/>
      <c r="I533" s="5"/>
      <c r="J533" s="5"/>
      <c r="K533" s="5"/>
      <c r="L533" s="5"/>
      <c r="M533">
        <f ca="1">IFERROR(__xludf.DUMMYFUNCTION("""COMPUTED_VALUE"""),0)</f>
        <v>0</v>
      </c>
      <c r="N533" s="8"/>
    </row>
    <row r="534" spans="1:14" ht="12.45" hidden="1">
      <c r="A534" t="str">
        <f ca="1">IFERROR(__xludf.DUMMYFUNCTION("""COMPUTED_VALUE"""),"V-4-521")</f>
        <v>V-4-521</v>
      </c>
      <c r="B534" t="str">
        <f ca="1">IFERROR(__xludf.DUMMYFUNCTION("""COMPUTED_VALUE"""),"Щетинин")</f>
        <v>Щетинин</v>
      </c>
      <c r="C534" t="str">
        <f ca="1">IFERROR(__xludf.DUMMYFUNCTION("""COMPUTED_VALUE"""),"Фёдор")</f>
        <v>Фёдор</v>
      </c>
      <c r="D534" t="str">
        <f ca="1">IFERROR(__xludf.DUMMYFUNCTION("""COMPUTED_VALUE"""),"Школа 113")</f>
        <v>Школа 113</v>
      </c>
      <c r="E534" s="5"/>
      <c r="F534" s="5"/>
      <c r="G534" s="5"/>
      <c r="H534" s="5"/>
      <c r="I534" s="5"/>
      <c r="J534" s="5"/>
      <c r="K534" s="5"/>
      <c r="L534" s="5"/>
      <c r="M534">
        <f ca="1">IFERROR(__xludf.DUMMYFUNCTION("""COMPUTED_VALUE"""),0)</f>
        <v>0</v>
      </c>
      <c r="N534" s="8"/>
    </row>
    <row r="535" spans="1:14" ht="12.45" hidden="1">
      <c r="A535" t="str">
        <f ca="1">IFERROR(__xludf.DUMMYFUNCTION("""COMPUTED_VALUE"""),"V-4-522")</f>
        <v>V-4-522</v>
      </c>
      <c r="B535" t="str">
        <f ca="1">IFERROR(__xludf.DUMMYFUNCTION("""COMPUTED_VALUE"""),"Щипина")</f>
        <v>Щипина</v>
      </c>
      <c r="C535" t="str">
        <f ca="1">IFERROR(__xludf.DUMMYFUNCTION("""COMPUTED_VALUE"""),"Злата")</f>
        <v>Злата</v>
      </c>
      <c r="D535" t="str">
        <f ca="1">IFERROR(__xludf.DUMMYFUNCTION("""COMPUTED_VALUE"""),"Школа 700")</f>
        <v>Школа 700</v>
      </c>
      <c r="E535" s="5"/>
      <c r="F535" s="5"/>
      <c r="G535" s="5"/>
      <c r="H535" s="5"/>
      <c r="I535" s="5"/>
      <c r="J535" s="5"/>
      <c r="K535" s="5"/>
      <c r="L535" s="5"/>
      <c r="M535">
        <f ca="1">IFERROR(__xludf.DUMMYFUNCTION("""COMPUTED_VALUE"""),0)</f>
        <v>0</v>
      </c>
      <c r="N535" s="8"/>
    </row>
    <row r="536" spans="1:14" ht="12.45" hidden="1">
      <c r="A536" t="str">
        <f ca="1">IFERROR(__xludf.DUMMYFUNCTION("""COMPUTED_VALUE"""),"V-4-523")</f>
        <v>V-4-523</v>
      </c>
      <c r="B536" t="str">
        <f ca="1">IFERROR(__xludf.DUMMYFUNCTION("""COMPUTED_VALUE"""),"Югин")</f>
        <v>Югин</v>
      </c>
      <c r="C536" t="str">
        <f ca="1">IFERROR(__xludf.DUMMYFUNCTION("""COMPUTED_VALUE"""),"Константин")</f>
        <v>Константин</v>
      </c>
      <c r="D536" t="str">
        <f ca="1">IFERROR(__xludf.DUMMYFUNCTION("""COMPUTED_VALUE"""),"Гимназия 330")</f>
        <v>Гимназия 330</v>
      </c>
      <c r="E536" s="5"/>
      <c r="F536" s="5"/>
      <c r="G536" s="5"/>
      <c r="H536" s="5"/>
      <c r="I536" s="5"/>
      <c r="J536" s="5"/>
      <c r="K536" s="5"/>
      <c r="L536" s="5"/>
      <c r="M536">
        <f ca="1">IFERROR(__xludf.DUMMYFUNCTION("""COMPUTED_VALUE"""),0)</f>
        <v>0</v>
      </c>
      <c r="N536" s="8"/>
    </row>
    <row r="537" spans="1:14" ht="12.45" hidden="1">
      <c r="A537" t="str">
        <f ca="1">IFERROR(__xludf.DUMMYFUNCTION("""COMPUTED_VALUE"""),"V-4-525")</f>
        <v>V-4-525</v>
      </c>
      <c r="B537" t="str">
        <f ca="1">IFERROR(__xludf.DUMMYFUNCTION("""COMPUTED_VALUE"""),"Яблонская")</f>
        <v>Яблонская</v>
      </c>
      <c r="C537" t="str">
        <f ca="1">IFERROR(__xludf.DUMMYFUNCTION("""COMPUTED_VALUE"""),"Софья")</f>
        <v>Софья</v>
      </c>
      <c r="D537" t="str">
        <f ca="1">IFERROR(__xludf.DUMMYFUNCTION("""COMPUTED_VALUE"""),"Школа 457")</f>
        <v>Школа 457</v>
      </c>
      <c r="E537" s="5"/>
      <c r="F537" s="5"/>
      <c r="G537" s="5"/>
      <c r="H537" s="5"/>
      <c r="I537" s="5"/>
      <c r="J537" s="5"/>
      <c r="K537" s="5"/>
      <c r="L537" s="5"/>
      <c r="M537">
        <f ca="1">IFERROR(__xludf.DUMMYFUNCTION("""COMPUTED_VALUE"""),0)</f>
        <v>0</v>
      </c>
      <c r="N537" s="8"/>
    </row>
    <row r="538" spans="1:14" ht="12.45" hidden="1">
      <c r="A538" t="str">
        <f ca="1">IFERROR(__xludf.DUMMYFUNCTION("""COMPUTED_VALUE"""),"V-4-526")</f>
        <v>V-4-526</v>
      </c>
      <c r="B538" t="str">
        <f ca="1">IFERROR(__xludf.DUMMYFUNCTION("""COMPUTED_VALUE"""),"Яварчак")</f>
        <v>Яварчак</v>
      </c>
      <c r="C538" t="str">
        <f ca="1">IFERROR(__xludf.DUMMYFUNCTION("""COMPUTED_VALUE"""),"Мария")</f>
        <v>Мария</v>
      </c>
      <c r="D538" t="str">
        <f ca="1">IFERROR(__xludf.DUMMYFUNCTION("""COMPUTED_VALUE"""),"Лицей 9")</f>
        <v>Лицей 9</v>
      </c>
      <c r="E538" s="5"/>
      <c r="F538" s="5"/>
      <c r="G538" s="5"/>
      <c r="H538" s="5"/>
      <c r="I538" s="5"/>
      <c r="J538" s="5"/>
      <c r="K538" s="5"/>
      <c r="L538" s="5"/>
      <c r="M538">
        <f ca="1">IFERROR(__xludf.DUMMYFUNCTION("""COMPUTED_VALUE"""),0)</f>
        <v>0</v>
      </c>
      <c r="N538" s="8"/>
    </row>
    <row r="539" spans="1:14" ht="12.45" hidden="1">
      <c r="A539" t="str">
        <f ca="1">IFERROR(__xludf.DUMMYFUNCTION("""COMPUTED_VALUE"""),"V-4-527")</f>
        <v>V-4-527</v>
      </c>
      <c r="B539" t="str">
        <f ca="1">IFERROR(__xludf.DUMMYFUNCTION("""COMPUTED_VALUE"""),"Яворовский")</f>
        <v>Яворовский</v>
      </c>
      <c r="C539" t="str">
        <f ca="1">IFERROR(__xludf.DUMMYFUNCTION("""COMPUTED_VALUE"""),"Артем")</f>
        <v>Артем</v>
      </c>
      <c r="D539" t="str">
        <f ca="1">IFERROR(__xludf.DUMMYFUNCTION("""COMPUTED_VALUE"""),"Лицей ЭМЛи 29")</f>
        <v>Лицей ЭМЛи 29</v>
      </c>
      <c r="E539" s="5"/>
      <c r="F539" s="5"/>
      <c r="G539" s="5"/>
      <c r="H539" s="5"/>
      <c r="I539" s="5"/>
      <c r="J539" s="5"/>
      <c r="K539" s="5"/>
      <c r="L539" s="5"/>
      <c r="M539">
        <f ca="1">IFERROR(__xludf.DUMMYFUNCTION("""COMPUTED_VALUE"""),0)</f>
        <v>0</v>
      </c>
      <c r="N539" s="8"/>
    </row>
    <row r="540" spans="1:14" ht="12.45" hidden="1">
      <c r="A540" t="str">
        <f ca="1">IFERROR(__xludf.DUMMYFUNCTION("""COMPUTED_VALUE"""),"V-4-528")</f>
        <v>V-4-528</v>
      </c>
      <c r="B540" t="str">
        <f ca="1">IFERROR(__xludf.DUMMYFUNCTION("""COMPUTED_VALUE"""),"Яковлева")</f>
        <v>Яковлева</v>
      </c>
      <c r="C540" t="str">
        <f ca="1">IFERROR(__xludf.DUMMYFUNCTION("""COMPUTED_VALUE"""),"Екатерина")</f>
        <v>Екатерина</v>
      </c>
      <c r="D540" t="str">
        <f ca="1">IFERROR(__xludf.DUMMYFUNCTION("""COMPUTED_VALUE"""),"Гимназия 642")</f>
        <v>Гимназия 642</v>
      </c>
      <c r="E540" s="5"/>
      <c r="F540" s="5"/>
      <c r="G540" s="5"/>
      <c r="H540" s="5"/>
      <c r="I540" s="5"/>
      <c r="J540" s="5"/>
      <c r="K540" s="5"/>
      <c r="L540" s="5"/>
      <c r="M540">
        <f ca="1">IFERROR(__xludf.DUMMYFUNCTION("""COMPUTED_VALUE"""),0)</f>
        <v>0</v>
      </c>
      <c r="N540" s="8"/>
    </row>
    <row r="541" spans="1:14" ht="12.45" hidden="1">
      <c r="E541" s="5"/>
      <c r="F541" s="5"/>
      <c r="G541" s="5"/>
      <c r="H541" s="5"/>
      <c r="I541" s="5"/>
      <c r="J541" s="5"/>
      <c r="K541" s="5"/>
      <c r="L541" s="5"/>
      <c r="M541">
        <f ca="1">IFERROR(__xludf.DUMMYFUNCTION("""COMPUTED_VALUE"""),0)</f>
        <v>0</v>
      </c>
      <c r="N541" s="8"/>
    </row>
    <row r="542" spans="1:14" ht="12.45" hidden="1">
      <c r="E542" s="5"/>
      <c r="F542" s="5"/>
      <c r="G542" s="5"/>
      <c r="H542" s="5"/>
      <c r="I542" s="5"/>
      <c r="J542" s="5"/>
      <c r="K542" s="5"/>
      <c r="L542" s="5"/>
      <c r="M542">
        <f ca="1">IFERROR(__xludf.DUMMYFUNCTION("""COMPUTED_VALUE"""),0)</f>
        <v>0</v>
      </c>
      <c r="N542" s="8"/>
    </row>
    <row r="543" spans="1:14" ht="12.45" hidden="1">
      <c r="E543" s="5"/>
      <c r="F543" s="5"/>
      <c r="G543" s="5"/>
      <c r="H543" s="5"/>
      <c r="I543" s="5"/>
      <c r="J543" s="5"/>
      <c r="K543" s="5"/>
      <c r="L543" s="5"/>
      <c r="M543">
        <f ca="1">IFERROR(__xludf.DUMMYFUNCTION("""COMPUTED_VALUE"""),0)</f>
        <v>0</v>
      </c>
      <c r="N543" s="8"/>
    </row>
    <row r="544" spans="1:14" ht="12.45">
      <c r="E544" s="5"/>
      <c r="F544" s="5"/>
      <c r="G544" s="5"/>
      <c r="H544" s="5"/>
      <c r="I544" s="5"/>
      <c r="J544" s="5"/>
      <c r="K544" s="5"/>
      <c r="L544" s="5"/>
      <c r="N544" s="8"/>
    </row>
    <row r="545" spans="5:14" ht="12.45">
      <c r="E545" s="5"/>
      <c r="F545" s="5"/>
      <c r="G545" s="5"/>
      <c r="H545" s="5"/>
      <c r="I545" s="5"/>
      <c r="J545" s="5"/>
      <c r="K545" s="5"/>
      <c r="L545" s="5"/>
      <c r="N545" s="8"/>
    </row>
    <row r="546" spans="5:14" ht="12.45">
      <c r="E546" s="5"/>
      <c r="F546" s="5"/>
      <c r="G546" s="5"/>
      <c r="H546" s="5"/>
      <c r="I546" s="5"/>
      <c r="J546" s="5"/>
      <c r="K546" s="5"/>
      <c r="L546" s="5"/>
      <c r="N546" s="8"/>
    </row>
    <row r="547" spans="5:14" ht="12.45">
      <c r="E547" s="5"/>
      <c r="F547" s="5"/>
      <c r="G547" s="5"/>
      <c r="H547" s="5"/>
      <c r="I547" s="5"/>
      <c r="J547" s="5"/>
      <c r="K547" s="5"/>
      <c r="L547" s="5"/>
      <c r="N547" s="8"/>
    </row>
    <row r="548" spans="5:14" ht="12.45">
      <c r="E548" s="5"/>
      <c r="F548" s="5"/>
      <c r="G548" s="5"/>
      <c r="H548" s="5"/>
      <c r="I548" s="5"/>
      <c r="J548" s="5"/>
      <c r="K548" s="5"/>
      <c r="L548" s="5"/>
      <c r="N548" s="8"/>
    </row>
    <row r="549" spans="5:14" ht="12.45">
      <c r="E549" s="5"/>
      <c r="F549" s="5"/>
      <c r="G549" s="5"/>
      <c r="H549" s="5"/>
      <c r="I549" s="5"/>
      <c r="J549" s="5"/>
      <c r="K549" s="5"/>
      <c r="L549" s="5"/>
      <c r="N549" s="8"/>
    </row>
    <row r="550" spans="5:14" ht="12.45">
      <c r="E550" s="5"/>
      <c r="F550" s="5"/>
      <c r="G550" s="5"/>
      <c r="H550" s="5"/>
      <c r="I550" s="5"/>
      <c r="J550" s="5"/>
      <c r="K550" s="5"/>
      <c r="L550" s="5"/>
      <c r="N550" s="8"/>
    </row>
    <row r="551" spans="5:14" ht="12.45">
      <c r="E551" s="5"/>
      <c r="F551" s="5"/>
      <c r="G551" s="5"/>
      <c r="H551" s="5"/>
      <c r="I551" s="5"/>
      <c r="J551" s="5"/>
      <c r="K551" s="5"/>
      <c r="L551" s="5"/>
      <c r="N551" s="8"/>
    </row>
    <row r="552" spans="5:14" ht="12.45">
      <c r="E552" s="5"/>
      <c r="F552" s="5"/>
      <c r="G552" s="5"/>
      <c r="H552" s="5"/>
      <c r="I552" s="5"/>
      <c r="J552" s="5"/>
      <c r="K552" s="5"/>
      <c r="L552" s="5"/>
      <c r="N552" s="8"/>
    </row>
    <row r="553" spans="5:14" ht="12.45">
      <c r="E553" s="5"/>
      <c r="F553" s="5"/>
      <c r="G553" s="5"/>
      <c r="H553" s="5"/>
      <c r="I553" s="5"/>
      <c r="J553" s="5"/>
      <c r="K553" s="5"/>
      <c r="L553" s="5"/>
      <c r="N553" s="8"/>
    </row>
    <row r="554" spans="5:14" ht="12.45">
      <c r="E554" s="5"/>
      <c r="F554" s="5"/>
      <c r="G554" s="5"/>
      <c r="H554" s="5"/>
      <c r="I554" s="5"/>
      <c r="J554" s="5"/>
      <c r="K554" s="5"/>
      <c r="L554" s="5"/>
      <c r="N554" s="8"/>
    </row>
    <row r="555" spans="5:14" ht="12.45">
      <c r="E555" s="5"/>
      <c r="F555" s="5"/>
      <c r="G555" s="5"/>
      <c r="H555" s="5"/>
      <c r="I555" s="5"/>
      <c r="J555" s="5"/>
      <c r="K555" s="5"/>
      <c r="L555" s="5"/>
      <c r="N555" s="8"/>
    </row>
    <row r="556" spans="5:14" ht="12.45">
      <c r="E556" s="5"/>
      <c r="F556" s="5"/>
      <c r="G556" s="5"/>
      <c r="H556" s="5"/>
      <c r="I556" s="5"/>
      <c r="J556" s="5"/>
      <c r="K556" s="5"/>
      <c r="L556" s="5"/>
      <c r="N556" s="8"/>
    </row>
    <row r="557" spans="5:14" ht="12.45">
      <c r="E557" s="5"/>
      <c r="F557" s="5"/>
      <c r="G557" s="5"/>
      <c r="H557" s="5"/>
      <c r="I557" s="5"/>
      <c r="J557" s="5"/>
      <c r="K557" s="5"/>
      <c r="L557" s="5"/>
      <c r="N557" s="8"/>
    </row>
    <row r="558" spans="5:14" ht="12.45">
      <c r="E558" s="5"/>
      <c r="F558" s="5"/>
      <c r="G558" s="5"/>
      <c r="H558" s="5"/>
      <c r="I558" s="5"/>
      <c r="J558" s="5"/>
      <c r="K558" s="5"/>
      <c r="L558" s="5"/>
      <c r="N558" s="8"/>
    </row>
    <row r="559" spans="5:14" ht="12.45">
      <c r="E559" s="5"/>
      <c r="F559" s="5"/>
      <c r="G559" s="5"/>
      <c r="H559" s="5"/>
      <c r="I559" s="5"/>
      <c r="J559" s="5"/>
      <c r="K559" s="5"/>
      <c r="L559" s="5"/>
      <c r="N559" s="8"/>
    </row>
    <row r="560" spans="5:14" ht="12.45">
      <c r="E560" s="5"/>
      <c r="F560" s="5"/>
      <c r="G560" s="5"/>
      <c r="H560" s="5"/>
      <c r="I560" s="5"/>
      <c r="J560" s="5"/>
      <c r="K560" s="5"/>
      <c r="L560" s="5"/>
      <c r="N560" s="8"/>
    </row>
    <row r="561" spans="5:14" ht="12.45">
      <c r="E561" s="5"/>
      <c r="F561" s="5"/>
      <c r="G561" s="5"/>
      <c r="H561" s="5"/>
      <c r="I561" s="5"/>
      <c r="J561" s="5"/>
      <c r="K561" s="5"/>
      <c r="L561" s="5"/>
      <c r="N561" s="8"/>
    </row>
    <row r="562" spans="5:14" ht="12.45">
      <c r="E562" s="5"/>
      <c r="F562" s="5"/>
      <c r="G562" s="5"/>
      <c r="H562" s="5"/>
      <c r="I562" s="5"/>
      <c r="J562" s="5"/>
      <c r="K562" s="5"/>
      <c r="L562" s="5"/>
      <c r="N562" s="8"/>
    </row>
    <row r="563" spans="5:14" ht="12.45">
      <c r="E563" s="5"/>
      <c r="F563" s="5"/>
      <c r="G563" s="5"/>
      <c r="H563" s="5"/>
      <c r="I563" s="5"/>
      <c r="J563" s="5"/>
      <c r="K563" s="5"/>
      <c r="L563" s="5"/>
      <c r="N563" s="8"/>
    </row>
    <row r="564" spans="5:14" ht="12.45">
      <c r="E564" s="5"/>
      <c r="F564" s="5"/>
      <c r="G564" s="5"/>
      <c r="H564" s="5"/>
      <c r="I564" s="5"/>
      <c r="J564" s="5"/>
      <c r="K564" s="5"/>
      <c r="L564" s="5"/>
      <c r="N564" s="8"/>
    </row>
    <row r="565" spans="5:14" ht="12.45">
      <c r="E565" s="5"/>
      <c r="F565" s="5"/>
      <c r="G565" s="5"/>
      <c r="H565" s="5"/>
      <c r="I565" s="5"/>
      <c r="J565" s="5"/>
      <c r="K565" s="5"/>
      <c r="L565" s="5"/>
      <c r="N565" s="8"/>
    </row>
    <row r="566" spans="5:14" ht="12.45">
      <c r="E566" s="5"/>
      <c r="F566" s="5"/>
      <c r="G566" s="5"/>
      <c r="H566" s="5"/>
      <c r="I566" s="5"/>
      <c r="J566" s="5"/>
      <c r="K566" s="5"/>
      <c r="L566" s="5"/>
      <c r="N566" s="8"/>
    </row>
    <row r="567" spans="5:14" ht="12.45">
      <c r="E567" s="5"/>
      <c r="F567" s="5"/>
      <c r="G567" s="5"/>
      <c r="H567" s="5"/>
      <c r="I567" s="5"/>
      <c r="J567" s="5"/>
      <c r="K567" s="5"/>
      <c r="L567" s="5"/>
      <c r="N567" s="8"/>
    </row>
    <row r="568" spans="5:14" ht="12.45">
      <c r="E568" s="5"/>
      <c r="F568" s="5"/>
      <c r="G568" s="5"/>
      <c r="H568" s="5"/>
      <c r="I568" s="5"/>
      <c r="J568" s="5"/>
      <c r="K568" s="5"/>
      <c r="L568" s="5"/>
      <c r="N568" s="8"/>
    </row>
    <row r="569" spans="5:14" ht="12.45">
      <c r="E569" s="5"/>
      <c r="F569" s="5"/>
      <c r="G569" s="5"/>
      <c r="H569" s="5"/>
      <c r="I569" s="5"/>
      <c r="J569" s="5"/>
      <c r="K569" s="5"/>
      <c r="L569" s="5"/>
      <c r="N569" s="8"/>
    </row>
    <row r="570" spans="5:14" ht="12.45">
      <c r="E570" s="5"/>
      <c r="F570" s="5"/>
      <c r="G570" s="5"/>
      <c r="H570" s="5"/>
      <c r="I570" s="5"/>
      <c r="J570" s="5"/>
      <c r="K570" s="5"/>
      <c r="L570" s="5"/>
      <c r="N570" s="8"/>
    </row>
    <row r="571" spans="5:14" ht="12.45">
      <c r="E571" s="5"/>
      <c r="F571" s="5"/>
      <c r="G571" s="5"/>
      <c r="H571" s="5"/>
      <c r="I571" s="5"/>
      <c r="J571" s="5"/>
      <c r="K571" s="5"/>
      <c r="L571" s="5"/>
      <c r="N571" s="8"/>
    </row>
    <row r="572" spans="5:14" ht="12.45">
      <c r="E572" s="5"/>
      <c r="F572" s="5"/>
      <c r="G572" s="5"/>
      <c r="H572" s="5"/>
      <c r="I572" s="5"/>
      <c r="J572" s="5"/>
      <c r="K572" s="5"/>
      <c r="L572" s="5"/>
      <c r="N572" s="8"/>
    </row>
    <row r="573" spans="5:14" ht="12.45">
      <c r="E573" s="5"/>
      <c r="F573" s="5"/>
      <c r="G573" s="5"/>
      <c r="H573" s="5"/>
      <c r="I573" s="5"/>
      <c r="J573" s="5"/>
      <c r="K573" s="5"/>
      <c r="L573" s="5"/>
      <c r="N573" s="8"/>
    </row>
    <row r="574" spans="5:14" ht="12.45">
      <c r="E574" s="5"/>
      <c r="F574" s="5"/>
      <c r="G574" s="5"/>
      <c r="H574" s="5"/>
      <c r="I574" s="5"/>
      <c r="J574" s="5"/>
      <c r="K574" s="5"/>
      <c r="L574" s="5"/>
      <c r="N574" s="8"/>
    </row>
    <row r="575" spans="5:14" ht="12.45">
      <c r="E575" s="5"/>
      <c r="F575" s="5"/>
      <c r="G575" s="5"/>
      <c r="H575" s="5"/>
      <c r="I575" s="5"/>
      <c r="J575" s="5"/>
      <c r="K575" s="5"/>
      <c r="L575" s="5"/>
      <c r="N575" s="8"/>
    </row>
    <row r="576" spans="5:14" ht="12.45">
      <c r="E576" s="5"/>
      <c r="F576" s="5"/>
      <c r="G576" s="5"/>
      <c r="H576" s="5"/>
      <c r="I576" s="5"/>
      <c r="J576" s="5"/>
      <c r="K576" s="5"/>
      <c r="L576" s="5"/>
      <c r="N576" s="8"/>
    </row>
    <row r="577" spans="5:14" ht="12.45">
      <c r="E577" s="5"/>
      <c r="F577" s="5"/>
      <c r="G577" s="5"/>
      <c r="H577" s="5"/>
      <c r="I577" s="5"/>
      <c r="J577" s="5"/>
      <c r="K577" s="5"/>
      <c r="L577" s="5"/>
      <c r="N577" s="8"/>
    </row>
    <row r="578" spans="5:14" ht="12.45">
      <c r="E578" s="5"/>
      <c r="F578" s="5"/>
      <c r="G578" s="5"/>
      <c r="H578" s="5"/>
      <c r="I578" s="5"/>
      <c r="J578" s="5"/>
      <c r="K578" s="5"/>
      <c r="L578" s="5"/>
      <c r="N578" s="8"/>
    </row>
    <row r="579" spans="5:14" ht="12.45">
      <c r="E579" s="5"/>
      <c r="F579" s="5"/>
      <c r="G579" s="5"/>
      <c r="H579" s="5"/>
      <c r="I579" s="5"/>
      <c r="J579" s="5"/>
      <c r="K579" s="5"/>
      <c r="L579" s="5"/>
      <c r="N579" s="8"/>
    </row>
    <row r="580" spans="5:14" ht="12.45">
      <c r="E580" s="5"/>
      <c r="F580" s="5"/>
      <c r="G580" s="5"/>
      <c r="H580" s="5"/>
      <c r="I580" s="5"/>
      <c r="J580" s="5"/>
      <c r="K580" s="5"/>
      <c r="L580" s="5"/>
      <c r="N580" s="8"/>
    </row>
    <row r="581" spans="5:14" ht="12.45">
      <c r="E581" s="5"/>
      <c r="F581" s="5"/>
      <c r="G581" s="5"/>
      <c r="H581" s="5"/>
      <c r="I581" s="5"/>
      <c r="J581" s="5"/>
      <c r="K581" s="5"/>
      <c r="L581" s="5"/>
      <c r="N581" s="8"/>
    </row>
    <row r="582" spans="5:14" ht="12.45">
      <c r="E582" s="5"/>
      <c r="F582" s="5"/>
      <c r="G582" s="5"/>
      <c r="H582" s="5"/>
      <c r="I582" s="5"/>
      <c r="J582" s="5"/>
      <c r="K582" s="5"/>
      <c r="L582" s="5"/>
      <c r="N582" s="8"/>
    </row>
    <row r="583" spans="5:14" ht="12.45">
      <c r="E583" s="5"/>
      <c r="F583" s="5"/>
      <c r="G583" s="5"/>
      <c r="H583" s="5"/>
      <c r="I583" s="5"/>
      <c r="J583" s="5"/>
      <c r="K583" s="5"/>
      <c r="L583" s="5"/>
      <c r="N583" s="8"/>
    </row>
    <row r="584" spans="5:14" ht="12.45">
      <c r="E584" s="5"/>
      <c r="F584" s="5"/>
      <c r="G584" s="5"/>
      <c r="H584" s="5"/>
      <c r="I584" s="5"/>
      <c r="J584" s="5"/>
      <c r="K584" s="5"/>
      <c r="L584" s="5"/>
      <c r="N584" s="8"/>
    </row>
    <row r="585" spans="5:14" ht="12.45">
      <c r="E585" s="5"/>
      <c r="F585" s="5"/>
      <c r="G585" s="5"/>
      <c r="H585" s="5"/>
      <c r="I585" s="5"/>
      <c r="J585" s="5"/>
      <c r="K585" s="5"/>
      <c r="L585" s="5"/>
      <c r="N585" s="8"/>
    </row>
    <row r="586" spans="5:14" ht="12.45">
      <c r="E586" s="5"/>
      <c r="F586" s="5"/>
      <c r="G586" s="5"/>
      <c r="H586" s="5"/>
      <c r="I586" s="5"/>
      <c r="J586" s="5"/>
      <c r="K586" s="5"/>
      <c r="L586" s="5"/>
      <c r="N586" s="8"/>
    </row>
    <row r="587" spans="5:14" ht="12.45">
      <c r="E587" s="5"/>
      <c r="F587" s="5"/>
      <c r="G587" s="5"/>
      <c r="H587" s="5"/>
      <c r="I587" s="5"/>
      <c r="J587" s="5"/>
      <c r="K587" s="5"/>
      <c r="L587" s="5"/>
      <c r="N587" s="8"/>
    </row>
    <row r="588" spans="5:14" ht="12.45">
      <c r="E588" s="5"/>
      <c r="F588" s="5"/>
      <c r="G588" s="5"/>
      <c r="H588" s="5"/>
      <c r="I588" s="5"/>
      <c r="J588" s="5"/>
      <c r="K588" s="5"/>
      <c r="L588" s="5"/>
      <c r="N588" s="8"/>
    </row>
    <row r="589" spans="5:14" ht="12.45">
      <c r="E589" s="5"/>
      <c r="F589" s="5"/>
      <c r="G589" s="5"/>
      <c r="H589" s="5"/>
      <c r="I589" s="5"/>
      <c r="J589" s="5"/>
      <c r="K589" s="5"/>
      <c r="L589" s="5"/>
      <c r="N589" s="8"/>
    </row>
    <row r="590" spans="5:14" ht="12.45">
      <c r="E590" s="5"/>
      <c r="F590" s="5"/>
      <c r="G590" s="5"/>
      <c r="H590" s="5"/>
      <c r="I590" s="5"/>
      <c r="J590" s="5"/>
      <c r="K590" s="5"/>
      <c r="L590" s="5"/>
      <c r="N590" s="8"/>
    </row>
    <row r="591" spans="5:14" ht="12.45">
      <c r="E591" s="5"/>
      <c r="F591" s="5"/>
      <c r="G591" s="5"/>
      <c r="H591" s="5"/>
      <c r="I591" s="5"/>
      <c r="J591" s="5"/>
      <c r="K591" s="5"/>
      <c r="L591" s="5"/>
      <c r="N591" s="8"/>
    </row>
    <row r="592" spans="5:14" ht="12.45">
      <c r="E592" s="5"/>
      <c r="F592" s="5"/>
      <c r="G592" s="5"/>
      <c r="H592" s="5"/>
      <c r="I592" s="5"/>
      <c r="J592" s="5"/>
      <c r="K592" s="5"/>
      <c r="L592" s="5"/>
      <c r="N592" s="8"/>
    </row>
    <row r="593" spans="5:14" ht="12.45">
      <c r="E593" s="5"/>
      <c r="F593" s="5"/>
      <c r="G593" s="5"/>
      <c r="H593" s="5"/>
      <c r="I593" s="5"/>
      <c r="J593" s="5"/>
      <c r="K593" s="5"/>
      <c r="L593" s="5"/>
      <c r="N593" s="8"/>
    </row>
    <row r="594" spans="5:14" ht="12.45">
      <c r="E594" s="5"/>
      <c r="F594" s="5"/>
      <c r="G594" s="5"/>
      <c r="H594" s="5"/>
      <c r="I594" s="5"/>
      <c r="J594" s="5"/>
      <c r="K594" s="5"/>
      <c r="L594" s="5"/>
      <c r="N594" s="8"/>
    </row>
    <row r="595" spans="5:14" ht="12.45">
      <c r="E595" s="5"/>
      <c r="F595" s="5"/>
      <c r="G595" s="5"/>
      <c r="H595" s="5"/>
      <c r="I595" s="5"/>
      <c r="J595" s="5"/>
      <c r="K595" s="5"/>
      <c r="L595" s="5"/>
      <c r="N595" s="8"/>
    </row>
    <row r="596" spans="5:14" ht="12.45">
      <c r="E596" s="5"/>
      <c r="F596" s="5"/>
      <c r="G596" s="5"/>
      <c r="H596" s="5"/>
      <c r="I596" s="5"/>
      <c r="J596" s="5"/>
      <c r="K596" s="5"/>
      <c r="L596" s="5"/>
      <c r="N596" s="8"/>
    </row>
    <row r="597" spans="5:14" ht="12.45">
      <c r="E597" s="5"/>
      <c r="F597" s="5"/>
      <c r="G597" s="5"/>
      <c r="H597" s="5"/>
      <c r="I597" s="5"/>
      <c r="J597" s="5"/>
      <c r="K597" s="5"/>
      <c r="L597" s="5"/>
      <c r="N597" s="8"/>
    </row>
    <row r="598" spans="5:14" ht="12.45">
      <c r="E598" s="5"/>
      <c r="F598" s="5"/>
      <c r="G598" s="5"/>
      <c r="H598" s="5"/>
      <c r="I598" s="5"/>
      <c r="J598" s="5"/>
      <c r="K598" s="5"/>
      <c r="L598" s="5"/>
      <c r="N598" s="8"/>
    </row>
    <row r="599" spans="5:14" ht="12.45">
      <c r="E599" s="5"/>
      <c r="F599" s="5"/>
      <c r="G599" s="5"/>
      <c r="H599" s="5"/>
      <c r="I599" s="5"/>
      <c r="J599" s="5"/>
      <c r="K599" s="5"/>
      <c r="L599" s="5"/>
      <c r="N599" s="8"/>
    </row>
    <row r="600" spans="5:14" ht="12.45">
      <c r="E600" s="5"/>
      <c r="F600" s="5"/>
      <c r="G600" s="5"/>
      <c r="H600" s="5"/>
      <c r="I600" s="5"/>
      <c r="J600" s="5"/>
      <c r="K600" s="5"/>
      <c r="L600" s="5"/>
      <c r="N600" s="8"/>
    </row>
    <row r="601" spans="5:14" ht="12.45">
      <c r="E601" s="5"/>
      <c r="F601" s="5"/>
      <c r="G601" s="5"/>
      <c r="H601" s="5"/>
      <c r="I601" s="5"/>
      <c r="J601" s="5"/>
      <c r="K601" s="5"/>
      <c r="L601" s="5"/>
      <c r="N601" s="8"/>
    </row>
    <row r="602" spans="5:14" ht="12.45">
      <c r="E602" s="5"/>
      <c r="F602" s="5"/>
      <c r="G602" s="5"/>
      <c r="H602" s="5"/>
      <c r="I602" s="5"/>
      <c r="J602" s="5"/>
      <c r="K602" s="5"/>
      <c r="L602" s="5"/>
      <c r="N602" s="8"/>
    </row>
    <row r="603" spans="5:14" ht="12.45">
      <c r="E603" s="5"/>
      <c r="F603" s="5"/>
      <c r="G603" s="5"/>
      <c r="H603" s="5"/>
      <c r="I603" s="5"/>
      <c r="J603" s="5"/>
      <c r="K603" s="5"/>
      <c r="L603" s="5"/>
      <c r="N603" s="8"/>
    </row>
    <row r="604" spans="5:14" ht="12.45">
      <c r="E604" s="5"/>
      <c r="F604" s="5"/>
      <c r="G604" s="5"/>
      <c r="H604" s="5"/>
      <c r="I604" s="5"/>
      <c r="J604" s="5"/>
      <c r="K604" s="5"/>
      <c r="L604" s="5"/>
      <c r="N604" s="8"/>
    </row>
    <row r="605" spans="5:14" ht="12.45">
      <c r="E605" s="5"/>
      <c r="F605" s="5"/>
      <c r="G605" s="5"/>
      <c r="H605" s="5"/>
      <c r="I605" s="5"/>
      <c r="J605" s="5"/>
      <c r="K605" s="5"/>
      <c r="L605" s="5"/>
      <c r="N605" s="8"/>
    </row>
    <row r="606" spans="5:14" ht="12.45">
      <c r="E606" s="5"/>
      <c r="F606" s="5"/>
      <c r="G606" s="5"/>
      <c r="H606" s="5"/>
      <c r="I606" s="5"/>
      <c r="J606" s="5"/>
      <c r="K606" s="5"/>
      <c r="L606" s="5"/>
      <c r="N606" s="8"/>
    </row>
    <row r="607" spans="5:14" ht="12.45">
      <c r="E607" s="5"/>
      <c r="F607" s="5"/>
      <c r="G607" s="5"/>
      <c r="H607" s="5"/>
      <c r="I607" s="5"/>
      <c r="J607" s="5"/>
      <c r="K607" s="5"/>
      <c r="L607" s="5"/>
      <c r="N607" s="8"/>
    </row>
    <row r="608" spans="5:14" ht="12.45">
      <c r="E608" s="5"/>
      <c r="F608" s="5"/>
      <c r="G608" s="5"/>
      <c r="H608" s="5"/>
      <c r="I608" s="5"/>
      <c r="J608" s="5"/>
      <c r="K608" s="5"/>
      <c r="L608" s="5"/>
      <c r="N608" s="8"/>
    </row>
    <row r="609" spans="5:14" ht="12.45">
      <c r="E609" s="5"/>
      <c r="F609" s="5"/>
      <c r="G609" s="5"/>
      <c r="H609" s="5"/>
      <c r="I609" s="5"/>
      <c r="J609" s="5"/>
      <c r="K609" s="5"/>
      <c r="L609" s="5"/>
      <c r="N609" s="8"/>
    </row>
    <row r="610" spans="5:14" ht="12.45">
      <c r="E610" s="5"/>
      <c r="F610" s="5"/>
      <c r="G610" s="5"/>
      <c r="H610" s="5"/>
      <c r="I610" s="5"/>
      <c r="J610" s="5"/>
      <c r="K610" s="5"/>
      <c r="L610" s="5"/>
      <c r="N610" s="8"/>
    </row>
    <row r="611" spans="5:14" ht="12.45">
      <c r="E611" s="5"/>
      <c r="F611" s="5"/>
      <c r="G611" s="5"/>
      <c r="H611" s="5"/>
      <c r="I611" s="5"/>
      <c r="J611" s="5"/>
      <c r="K611" s="5"/>
      <c r="L611" s="5"/>
      <c r="N611" s="8"/>
    </row>
    <row r="612" spans="5:14" ht="12.45">
      <c r="E612" s="5"/>
      <c r="F612" s="5"/>
      <c r="G612" s="5"/>
      <c r="H612" s="5"/>
      <c r="I612" s="5"/>
      <c r="J612" s="5"/>
      <c r="K612" s="5"/>
      <c r="L612" s="5"/>
      <c r="N612" s="8"/>
    </row>
    <row r="613" spans="5:14" ht="12.45">
      <c r="E613" s="5"/>
      <c r="F613" s="5"/>
      <c r="G613" s="5"/>
      <c r="H613" s="5"/>
      <c r="I613" s="5"/>
      <c r="J613" s="5"/>
      <c r="K613" s="5"/>
      <c r="L613" s="5"/>
      <c r="N613" s="8"/>
    </row>
    <row r="614" spans="5:14" ht="12.45">
      <c r="E614" s="5"/>
      <c r="F614" s="5"/>
      <c r="G614" s="5"/>
      <c r="H614" s="5"/>
      <c r="I614" s="5"/>
      <c r="J614" s="5"/>
      <c r="K614" s="5"/>
      <c r="L614" s="5"/>
      <c r="N614" s="8"/>
    </row>
    <row r="615" spans="5:14" ht="12.45">
      <c r="E615" s="5"/>
      <c r="F615" s="5"/>
      <c r="G615" s="5"/>
      <c r="H615" s="5"/>
      <c r="I615" s="5"/>
      <c r="J615" s="5"/>
      <c r="K615" s="5"/>
      <c r="L615" s="5"/>
      <c r="N615" s="8"/>
    </row>
    <row r="616" spans="5:14" ht="12.45">
      <c r="E616" s="5"/>
      <c r="F616" s="5"/>
      <c r="G616" s="5"/>
      <c r="H616" s="5"/>
      <c r="I616" s="5"/>
      <c r="J616" s="5"/>
      <c r="K616" s="5"/>
      <c r="L616" s="5"/>
      <c r="N616" s="8"/>
    </row>
    <row r="617" spans="5:14" ht="12.45">
      <c r="E617" s="5"/>
      <c r="F617" s="5"/>
      <c r="G617" s="5"/>
      <c r="H617" s="5"/>
      <c r="I617" s="5"/>
      <c r="J617" s="5"/>
      <c r="K617" s="5"/>
      <c r="L617" s="5"/>
      <c r="N617" s="8"/>
    </row>
    <row r="618" spans="5:14" ht="12.45">
      <c r="E618" s="5"/>
      <c r="F618" s="5"/>
      <c r="G618" s="5"/>
      <c r="H618" s="5"/>
      <c r="I618" s="5"/>
      <c r="J618" s="5"/>
      <c r="K618" s="5"/>
      <c r="L618" s="5"/>
      <c r="N618" s="8"/>
    </row>
    <row r="619" spans="5:14" ht="12.45">
      <c r="E619" s="5"/>
      <c r="F619" s="5"/>
      <c r="G619" s="5"/>
      <c r="H619" s="5"/>
      <c r="I619" s="5"/>
      <c r="J619" s="5"/>
      <c r="K619" s="5"/>
      <c r="L619" s="5"/>
      <c r="N619" s="8"/>
    </row>
    <row r="620" spans="5:14" ht="12.45">
      <c r="E620" s="5"/>
      <c r="F620" s="5"/>
      <c r="G620" s="5"/>
      <c r="H620" s="5"/>
      <c r="I620" s="5"/>
      <c r="J620" s="5"/>
      <c r="K620" s="5"/>
      <c r="L620" s="5"/>
      <c r="N620" s="8"/>
    </row>
    <row r="621" spans="5:14" ht="12.45">
      <c r="E621" s="5"/>
      <c r="F621" s="5"/>
      <c r="G621" s="5"/>
      <c r="H621" s="5"/>
      <c r="I621" s="5"/>
      <c r="J621" s="5"/>
      <c r="K621" s="5"/>
      <c r="L621" s="5"/>
      <c r="N621" s="8"/>
    </row>
    <row r="622" spans="5:14" ht="12.45">
      <c r="E622" s="5"/>
      <c r="F622" s="5"/>
      <c r="G622" s="5"/>
      <c r="H622" s="5"/>
      <c r="I622" s="5"/>
      <c r="J622" s="5"/>
      <c r="K622" s="5"/>
      <c r="L622" s="5"/>
      <c r="N622" s="8"/>
    </row>
    <row r="623" spans="5:14" ht="12.45">
      <c r="E623" s="5"/>
      <c r="F623" s="5"/>
      <c r="G623" s="5"/>
      <c r="H623" s="5"/>
      <c r="I623" s="5"/>
      <c r="J623" s="5"/>
      <c r="K623" s="5"/>
      <c r="L623" s="5"/>
      <c r="N623" s="8"/>
    </row>
    <row r="624" spans="5:14" ht="12.45">
      <c r="E624" s="5"/>
      <c r="F624" s="5"/>
      <c r="G624" s="5"/>
      <c r="H624" s="5"/>
      <c r="I624" s="5"/>
      <c r="J624" s="5"/>
      <c r="K624" s="5"/>
      <c r="L624" s="5"/>
      <c r="N624" s="8"/>
    </row>
    <row r="625" spans="5:14" ht="12.45">
      <c r="E625" s="5"/>
      <c r="F625" s="5"/>
      <c r="G625" s="5"/>
      <c r="H625" s="5"/>
      <c r="I625" s="5"/>
      <c r="J625" s="5"/>
      <c r="K625" s="5"/>
      <c r="L625" s="5"/>
      <c r="N625" s="8"/>
    </row>
    <row r="626" spans="5:14" ht="12.45">
      <c r="E626" s="5"/>
      <c r="F626" s="5"/>
      <c r="G626" s="5"/>
      <c r="H626" s="5"/>
      <c r="I626" s="5"/>
      <c r="J626" s="5"/>
      <c r="K626" s="5"/>
      <c r="L626" s="5"/>
      <c r="N626" s="8"/>
    </row>
    <row r="627" spans="5:14" ht="12.45">
      <c r="E627" s="5"/>
      <c r="F627" s="5"/>
      <c r="G627" s="5"/>
      <c r="H627" s="5"/>
      <c r="I627" s="5"/>
      <c r="J627" s="5"/>
      <c r="K627" s="5"/>
      <c r="L627" s="5"/>
      <c r="N627" s="8"/>
    </row>
    <row r="628" spans="5:14" ht="12.45">
      <c r="E628" s="5"/>
      <c r="F628" s="5"/>
      <c r="G628" s="5"/>
      <c r="H628" s="5"/>
      <c r="I628" s="5"/>
      <c r="J628" s="5"/>
      <c r="K628" s="5"/>
      <c r="L628" s="5"/>
      <c r="N628" s="8"/>
    </row>
    <row r="629" spans="5:14" ht="12.45">
      <c r="E629" s="5"/>
      <c r="F629" s="5"/>
      <c r="G629" s="5"/>
      <c r="H629" s="5"/>
      <c r="I629" s="5"/>
      <c r="J629" s="5"/>
      <c r="K629" s="5"/>
      <c r="L629" s="5"/>
      <c r="N629" s="8"/>
    </row>
  </sheetData>
  <autoFilter ref="A8:AA543">
    <filterColumn colId="3">
      <filters>
        <filter val="Гимназия 3"/>
        <filter val="Гимназия 3 (г. Улан-Удэ)"/>
        <filter val="Гимназия Лингвистическая гимназия 3"/>
        <filter val="Гимназия МАОУ Лингвистическая гимназия 3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99"/>
  <sheetViews>
    <sheetView workbookViewId="0"/>
  </sheetViews>
  <sheetFormatPr defaultColWidth="12.61328125" defaultRowHeight="15" customHeight="1"/>
  <cols>
    <col min="1" max="1" width="11.15234375" customWidth="1"/>
    <col min="2" max="2" width="80.23046875" customWidth="1"/>
    <col min="3" max="3" width="9" customWidth="1"/>
  </cols>
  <sheetData>
    <row r="1" spans="1:26" ht="15" customHeight="1">
      <c r="A1" s="11" t="s">
        <v>4</v>
      </c>
      <c r="B1" s="11" t="s">
        <v>5</v>
      </c>
      <c r="C1" s="11" t="s">
        <v>6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" customHeight="1">
      <c r="A2" s="13">
        <v>1</v>
      </c>
      <c r="B2" s="14" t="s">
        <v>7</v>
      </c>
      <c r="C2" s="15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" customHeight="1">
      <c r="A3" s="17"/>
      <c r="B3" s="14" t="s">
        <v>8</v>
      </c>
      <c r="C3" s="15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" customHeight="1">
      <c r="A4" s="17"/>
      <c r="B4" s="14" t="s">
        <v>9</v>
      </c>
      <c r="C4" s="15">
        <v>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" customHeight="1">
      <c r="A5" s="17"/>
      <c r="B5" s="17"/>
      <c r="C5" s="18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 customHeight="1">
      <c r="A6" s="17"/>
      <c r="B6" s="17"/>
      <c r="C6" s="18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" customHeight="1">
      <c r="A7" s="13">
        <v>2</v>
      </c>
      <c r="B7" s="14" t="s">
        <v>10</v>
      </c>
      <c r="C7" s="15">
        <v>3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" customHeight="1">
      <c r="A8" s="17"/>
      <c r="B8" s="14" t="s">
        <v>11</v>
      </c>
      <c r="C8" s="15">
        <v>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" customHeight="1">
      <c r="A9" s="17"/>
      <c r="B9" s="14" t="s">
        <v>12</v>
      </c>
      <c r="C9" s="15">
        <v>0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 customHeight="1">
      <c r="A10" s="17"/>
      <c r="B10" s="17"/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>
      <c r="A11" s="17"/>
      <c r="B11" s="17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" customHeight="1">
      <c r="A12" s="13">
        <v>3</v>
      </c>
      <c r="B12" s="14" t="s">
        <v>13</v>
      </c>
      <c r="C12" s="15">
        <v>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" customHeight="1">
      <c r="A13" s="17"/>
      <c r="B13" s="14" t="s">
        <v>9</v>
      </c>
      <c r="C13" s="15">
        <v>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 customHeight="1">
      <c r="A14" s="17"/>
      <c r="B14" s="17"/>
      <c r="C14" s="1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 customHeight="1">
      <c r="A15" s="17"/>
      <c r="B15" s="17"/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" customHeight="1">
      <c r="A16" s="13">
        <v>4</v>
      </c>
      <c r="B16" s="14" t="s">
        <v>14</v>
      </c>
      <c r="C16" s="15">
        <v>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>
      <c r="A17" s="17"/>
      <c r="B17" s="14" t="s">
        <v>15</v>
      </c>
      <c r="C17" s="15">
        <v>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>
      <c r="A18" s="17"/>
      <c r="B18" s="14" t="s">
        <v>16</v>
      </c>
      <c r="C18" s="15">
        <v>1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 customHeight="1">
      <c r="A19" s="17"/>
      <c r="B19" s="14" t="s">
        <v>9</v>
      </c>
      <c r="C19" s="15">
        <v>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" customHeight="1">
      <c r="A20" s="17"/>
      <c r="B20" s="17"/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" customHeight="1">
      <c r="A21" s="17"/>
      <c r="B21" s="17"/>
      <c r="C21" s="1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" customHeight="1">
      <c r="A22" s="13">
        <v>5</v>
      </c>
      <c r="B22" s="14" t="s">
        <v>17</v>
      </c>
      <c r="C22" s="15">
        <v>6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" customHeight="1">
      <c r="A23" s="17"/>
      <c r="B23" s="14" t="s">
        <v>18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" customHeight="1">
      <c r="A24" s="17"/>
      <c r="B24" s="14" t="s">
        <v>9</v>
      </c>
      <c r="C24" s="15"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" customHeight="1">
      <c r="A25" s="17"/>
      <c r="B25" s="17"/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" customHeight="1">
      <c r="A26" s="17"/>
      <c r="B26" s="17"/>
      <c r="C26" s="1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" customHeight="1">
      <c r="A27" s="13">
        <v>6</v>
      </c>
      <c r="B27" s="14" t="s">
        <v>19</v>
      </c>
      <c r="C27" s="15">
        <v>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>
      <c r="A28" s="17"/>
      <c r="B28" s="14" t="s">
        <v>20</v>
      </c>
      <c r="C28" s="15">
        <v>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" customHeight="1">
      <c r="A29" s="17"/>
      <c r="B29" s="14" t="s">
        <v>9</v>
      </c>
      <c r="C29" s="15">
        <v>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" customHeight="1">
      <c r="A30" s="17"/>
      <c r="B30" s="17"/>
      <c r="C30" s="18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" customHeight="1">
      <c r="A31" s="17"/>
      <c r="B31" s="17"/>
      <c r="C31" s="1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" customHeight="1">
      <c r="A32" s="13">
        <v>7</v>
      </c>
      <c r="B32" s="14" t="s">
        <v>21</v>
      </c>
      <c r="C32" s="15">
        <v>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" customHeight="1">
      <c r="A33" s="17"/>
      <c r="B33" s="14" t="s">
        <v>9</v>
      </c>
      <c r="C33" s="15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" customHeight="1">
      <c r="A34" s="17"/>
      <c r="B34" s="17"/>
      <c r="C34" s="18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" customHeight="1">
      <c r="A35" s="17"/>
      <c r="B35" s="17"/>
      <c r="C35" s="18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" customHeight="1">
      <c r="A36" s="13">
        <v>8</v>
      </c>
      <c r="B36" s="14" t="s">
        <v>22</v>
      </c>
      <c r="C36" s="15">
        <v>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" customHeight="1">
      <c r="A37" s="17"/>
      <c r="B37" s="14" t="s">
        <v>9</v>
      </c>
      <c r="C37" s="15">
        <v>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" customHeight="1">
      <c r="A38" s="17"/>
      <c r="B38" s="16"/>
      <c r="C38" s="1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" customHeight="1">
      <c r="A39" s="17"/>
      <c r="B39" s="16"/>
      <c r="C39" s="1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" customHeight="1">
      <c r="A40" s="17"/>
      <c r="B40" s="16"/>
      <c r="C40" s="18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" customHeight="1">
      <c r="A41" s="17"/>
      <c r="B41" s="16"/>
      <c r="C41" s="18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" customHeight="1">
      <c r="A42" s="17"/>
      <c r="B42" s="16"/>
      <c r="C42" s="18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>
      <c r="A43" s="17"/>
      <c r="B43" s="16"/>
      <c r="C43" s="18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" customHeight="1">
      <c r="A44" s="17"/>
      <c r="B44" s="16"/>
      <c r="C44" s="18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" customHeight="1">
      <c r="A45" s="17"/>
      <c r="B45" s="16"/>
      <c r="C45" s="18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" customHeight="1">
      <c r="A46" s="17"/>
      <c r="B46" s="16"/>
      <c r="C46" s="18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" customHeight="1">
      <c r="A47" s="17"/>
      <c r="B47" s="16"/>
      <c r="C47" s="18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" customHeight="1">
      <c r="A48" s="17"/>
      <c r="B48" s="16"/>
      <c r="C48" s="18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" customHeight="1">
      <c r="A49" s="17"/>
      <c r="B49" s="16"/>
      <c r="C49" s="18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>
      <c r="A50" s="17"/>
      <c r="B50" s="16"/>
      <c r="C50" s="18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" customHeight="1">
      <c r="A51" s="17"/>
      <c r="B51" s="16"/>
      <c r="C51" s="1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" customHeight="1">
      <c r="A52" s="17"/>
      <c r="B52" s="16"/>
      <c r="C52" s="18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customHeight="1">
      <c r="A53" s="17"/>
      <c r="B53" s="16"/>
      <c r="C53" s="1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" customHeight="1">
      <c r="A54" s="17"/>
      <c r="B54" s="16"/>
      <c r="C54" s="1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>
      <c r="A55" s="17"/>
      <c r="B55" s="16"/>
      <c r="C55" s="1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>
      <c r="A56" s="17"/>
      <c r="B56" s="16"/>
      <c r="C56" s="18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>
      <c r="A57" s="17"/>
      <c r="B57" s="16"/>
      <c r="C57" s="18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>
      <c r="A58" s="17"/>
      <c r="B58" s="16"/>
      <c r="C58" s="18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>
      <c r="A59" s="17"/>
      <c r="B59" s="16"/>
      <c r="C59" s="18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>
      <c r="A60" s="17"/>
      <c r="B60" s="16"/>
      <c r="C60" s="18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>
      <c r="A61" s="17"/>
      <c r="B61" s="16"/>
      <c r="C61" s="18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>
      <c r="A62" s="17"/>
      <c r="B62" s="16"/>
      <c r="C62" s="18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" customHeight="1">
      <c r="A63" s="17"/>
      <c r="B63" s="16"/>
      <c r="C63" s="18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" customHeight="1">
      <c r="A64" s="17"/>
      <c r="B64" s="16"/>
      <c r="C64" s="18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" customHeight="1">
      <c r="A65" s="17"/>
      <c r="B65" s="16"/>
      <c r="C65" s="18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" customHeight="1">
      <c r="A66" s="17"/>
      <c r="B66" s="16"/>
      <c r="C66" s="18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" customHeight="1">
      <c r="A67" s="17"/>
      <c r="B67" s="16"/>
      <c r="C67" s="18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" customHeight="1">
      <c r="A68" s="17"/>
      <c r="B68" s="16"/>
      <c r="C68" s="1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" customHeight="1">
      <c r="A69" s="17"/>
      <c r="B69" s="16"/>
      <c r="C69" s="18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" customHeight="1">
      <c r="A70" s="17"/>
      <c r="B70" s="16"/>
      <c r="C70" s="18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" customHeight="1">
      <c r="A71" s="17"/>
      <c r="B71" s="16"/>
      <c r="C71" s="18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" customHeight="1">
      <c r="A72" s="17"/>
      <c r="B72" s="16"/>
      <c r="C72" s="18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" customHeight="1">
      <c r="A73" s="17"/>
      <c r="B73" s="16"/>
      <c r="C73" s="18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" customHeight="1">
      <c r="A74" s="17"/>
      <c r="B74" s="16"/>
      <c r="C74" s="18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" customHeight="1">
      <c r="A75" s="17"/>
      <c r="B75" s="16"/>
      <c r="C75" s="18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" customHeight="1">
      <c r="A76" s="17"/>
      <c r="B76" s="16"/>
      <c r="C76" s="18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" customHeight="1">
      <c r="A77" s="17"/>
      <c r="B77" s="16"/>
      <c r="C77" s="1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" customHeight="1">
      <c r="A78" s="17"/>
      <c r="B78" s="16"/>
      <c r="C78" s="1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" customHeight="1">
      <c r="A79" s="17"/>
      <c r="B79" s="16"/>
      <c r="C79" s="1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" customHeight="1">
      <c r="A80" s="17"/>
      <c r="B80" s="16"/>
      <c r="C80" s="1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" customHeight="1">
      <c r="A81" s="17"/>
      <c r="B81" s="16"/>
      <c r="C81" s="1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" customHeight="1">
      <c r="A82" s="17"/>
      <c r="B82" s="16"/>
      <c r="C82" s="1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" customHeight="1">
      <c r="A83" s="17"/>
      <c r="B83" s="16"/>
      <c r="C83" s="1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>
      <c r="A84" s="17"/>
      <c r="B84" s="16"/>
      <c r="C84" s="1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>
      <c r="A85" s="17"/>
      <c r="B85" s="16"/>
      <c r="C85" s="1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>
      <c r="A86" s="17"/>
      <c r="B86" s="16"/>
      <c r="C86" s="1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>
      <c r="A87" s="17"/>
      <c r="B87" s="16"/>
      <c r="C87" s="18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" customHeight="1">
      <c r="A88" s="17"/>
      <c r="B88" s="16"/>
      <c r="C88" s="18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" customHeight="1">
      <c r="A89" s="17"/>
      <c r="B89" s="16"/>
      <c r="C89" s="18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" customHeight="1">
      <c r="A90" s="17"/>
      <c r="B90" s="16"/>
      <c r="C90" s="18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" customHeight="1">
      <c r="A91" s="17"/>
      <c r="B91" s="16"/>
      <c r="C91" s="18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" customHeight="1">
      <c r="A92" s="17"/>
      <c r="B92" s="16"/>
      <c r="C92" s="1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" customHeight="1">
      <c r="A93" s="17"/>
      <c r="B93" s="16"/>
      <c r="C93" s="1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" customHeight="1">
      <c r="A94" s="17"/>
      <c r="B94" s="16"/>
      <c r="C94" s="18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" customHeight="1">
      <c r="A95" s="17"/>
      <c r="B95" s="16"/>
      <c r="C95" s="18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" customHeight="1">
      <c r="A96" s="17"/>
      <c r="B96" s="16"/>
      <c r="C96" s="18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" customHeight="1">
      <c r="A97" s="17"/>
      <c r="B97" s="16"/>
      <c r="C97" s="18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" customHeight="1">
      <c r="A98" s="17"/>
      <c r="B98" s="16"/>
      <c r="C98" s="18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" customHeight="1">
      <c r="A99" s="17"/>
      <c r="B99" s="16"/>
      <c r="C99" s="18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" customHeight="1">
      <c r="A100" s="17"/>
      <c r="B100" s="16"/>
      <c r="C100" s="1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" customHeight="1">
      <c r="A101" s="17"/>
      <c r="B101" s="16"/>
      <c r="C101" s="1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" customHeight="1">
      <c r="A102" s="17"/>
      <c r="B102" s="16"/>
      <c r="C102" s="18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" customHeight="1">
      <c r="A103" s="17"/>
      <c r="B103" s="16"/>
      <c r="C103" s="18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" customHeight="1">
      <c r="A104" s="17"/>
      <c r="B104" s="16"/>
      <c r="C104" s="18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" customHeight="1">
      <c r="A105" s="17"/>
      <c r="B105" s="16"/>
      <c r="C105" s="18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" customHeight="1">
      <c r="A106" s="17"/>
      <c r="B106" s="16"/>
      <c r="C106" s="18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" customHeight="1">
      <c r="A107" s="17"/>
      <c r="B107" s="16"/>
      <c r="C107" s="18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" customHeight="1">
      <c r="A108" s="17"/>
      <c r="B108" s="16"/>
      <c r="C108" s="18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" customHeight="1">
      <c r="A109" s="17"/>
      <c r="B109" s="16"/>
      <c r="C109" s="18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" customHeight="1">
      <c r="A110" s="17"/>
      <c r="B110" s="16"/>
      <c r="C110" s="18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" customHeight="1">
      <c r="A111" s="17"/>
      <c r="B111" s="16"/>
      <c r="C111" s="18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" customHeight="1">
      <c r="A112" s="17"/>
      <c r="B112" s="16"/>
      <c r="C112" s="18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" customHeight="1">
      <c r="A113" s="17"/>
      <c r="B113" s="16"/>
      <c r="C113" s="18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" customHeight="1">
      <c r="A114" s="17"/>
      <c r="B114" s="16"/>
      <c r="C114" s="18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" customHeight="1">
      <c r="A115" s="17"/>
      <c r="B115" s="16"/>
      <c r="C115" s="18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" customHeight="1">
      <c r="A116" s="17"/>
      <c r="B116" s="16"/>
      <c r="C116" s="18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" customHeight="1">
      <c r="A117" s="17"/>
      <c r="B117" s="16"/>
      <c r="C117" s="18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" customHeight="1">
      <c r="A118" s="17"/>
      <c r="B118" s="16"/>
      <c r="C118" s="1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" customHeight="1">
      <c r="A119" s="17"/>
      <c r="B119" s="16"/>
      <c r="C119" s="1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" customHeight="1">
      <c r="A120" s="17"/>
      <c r="B120" s="16"/>
      <c r="C120" s="18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" customHeight="1">
      <c r="A121" s="17"/>
      <c r="B121" s="16"/>
      <c r="C121" s="18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" customHeight="1">
      <c r="A122" s="17"/>
      <c r="B122" s="16"/>
      <c r="C122" s="18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" customHeight="1">
      <c r="A123" s="17"/>
      <c r="B123" s="16"/>
      <c r="C123" s="18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" customHeight="1">
      <c r="A124" s="17"/>
      <c r="B124" s="16"/>
      <c r="C124" s="18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" customHeight="1">
      <c r="A125" s="17"/>
      <c r="B125" s="16"/>
      <c r="C125" s="18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" customHeight="1">
      <c r="A126" s="17"/>
      <c r="B126" s="16"/>
      <c r="C126" s="18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" customHeight="1">
      <c r="A127" s="17"/>
      <c r="B127" s="16"/>
      <c r="C127" s="18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" customHeight="1">
      <c r="A128" s="17"/>
      <c r="B128" s="16"/>
      <c r="C128" s="18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" customHeight="1">
      <c r="A129" s="17"/>
      <c r="B129" s="16"/>
      <c r="C129" s="18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" customHeight="1">
      <c r="A130" s="17"/>
      <c r="B130" s="16"/>
      <c r="C130" s="18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" customHeight="1">
      <c r="A131" s="17"/>
      <c r="B131" s="16"/>
      <c r="C131" s="18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" customHeight="1">
      <c r="A132" s="17"/>
      <c r="B132" s="16"/>
      <c r="C132" s="18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" customHeight="1">
      <c r="A133" s="17"/>
      <c r="B133" s="16"/>
      <c r="C133" s="18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" customHeight="1">
      <c r="A134" s="17"/>
      <c r="B134" s="16"/>
      <c r="C134" s="18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" customHeight="1">
      <c r="A135" s="17"/>
      <c r="B135" s="16"/>
      <c r="C135" s="18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" customHeight="1">
      <c r="A136" s="17"/>
      <c r="B136" s="16"/>
      <c r="C136" s="18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" customHeight="1">
      <c r="A137" s="17"/>
      <c r="B137" s="16"/>
      <c r="C137" s="18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" customHeight="1">
      <c r="A138" s="17"/>
      <c r="B138" s="16"/>
      <c r="C138" s="18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" customHeight="1">
      <c r="A139" s="17"/>
      <c r="B139" s="16"/>
      <c r="C139" s="18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" customHeight="1">
      <c r="A140" s="17"/>
      <c r="B140" s="16"/>
      <c r="C140" s="18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" customHeight="1">
      <c r="A141" s="17"/>
      <c r="B141" s="16"/>
      <c r="C141" s="18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" customHeight="1">
      <c r="A142" s="17"/>
      <c r="B142" s="16"/>
      <c r="C142" s="18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" customHeight="1">
      <c r="A143" s="17"/>
      <c r="B143" s="16"/>
      <c r="C143" s="18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" customHeight="1">
      <c r="A144" s="17"/>
      <c r="B144" s="16"/>
      <c r="C144" s="18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" customHeight="1">
      <c r="A145" s="17"/>
      <c r="B145" s="16"/>
      <c r="C145" s="18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" customHeight="1">
      <c r="A146" s="17"/>
      <c r="B146" s="16"/>
      <c r="C146" s="18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" customHeight="1">
      <c r="A147" s="17"/>
      <c r="B147" s="16"/>
      <c r="C147" s="18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" customHeight="1">
      <c r="A148" s="17"/>
      <c r="B148" s="16"/>
      <c r="C148" s="18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" customHeight="1">
      <c r="A149" s="17"/>
      <c r="B149" s="16"/>
      <c r="C149" s="18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" customHeight="1">
      <c r="A150" s="17"/>
      <c r="B150" s="16"/>
      <c r="C150" s="18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" customHeight="1">
      <c r="A151" s="17"/>
      <c r="B151" s="16"/>
      <c r="C151" s="18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" customHeight="1">
      <c r="A152" s="17"/>
      <c r="B152" s="16"/>
      <c r="C152" s="18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" customHeight="1">
      <c r="A153" s="17"/>
      <c r="B153" s="16"/>
      <c r="C153" s="18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" customHeight="1">
      <c r="A154" s="17"/>
      <c r="B154" s="16"/>
      <c r="C154" s="18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" customHeight="1">
      <c r="A155" s="17"/>
      <c r="B155" s="16"/>
      <c r="C155" s="18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" customHeight="1">
      <c r="A156" s="17"/>
      <c r="B156" s="16"/>
      <c r="C156" s="18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" customHeight="1">
      <c r="A157" s="17"/>
      <c r="B157" s="16"/>
      <c r="C157" s="18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" customHeight="1">
      <c r="A158" s="17"/>
      <c r="B158" s="16"/>
      <c r="C158" s="18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" customHeight="1">
      <c r="A159" s="17"/>
      <c r="B159" s="16"/>
      <c r="C159" s="18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" customHeight="1">
      <c r="A160" s="17"/>
      <c r="B160" s="16"/>
      <c r="C160" s="18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" customHeight="1">
      <c r="A161" s="17"/>
      <c r="B161" s="16"/>
      <c r="C161" s="18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" customHeight="1">
      <c r="A162" s="17"/>
      <c r="B162" s="16"/>
      <c r="C162" s="18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" customHeight="1">
      <c r="A163" s="17"/>
      <c r="B163" s="16"/>
      <c r="C163" s="18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" customHeight="1">
      <c r="A164" s="17"/>
      <c r="B164" s="16"/>
      <c r="C164" s="18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" customHeight="1">
      <c r="A165" s="17"/>
      <c r="B165" s="16"/>
      <c r="C165" s="18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" customHeight="1">
      <c r="A166" s="17"/>
      <c r="B166" s="16"/>
      <c r="C166" s="18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" customHeight="1">
      <c r="A167" s="17"/>
      <c r="B167" s="16"/>
      <c r="C167" s="18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" customHeight="1">
      <c r="A168" s="17"/>
      <c r="B168" s="16"/>
      <c r="C168" s="18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" customHeight="1">
      <c r="A169" s="17"/>
      <c r="B169" s="16"/>
      <c r="C169" s="18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" customHeight="1">
      <c r="A170" s="17"/>
      <c r="B170" s="16"/>
      <c r="C170" s="18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" customHeight="1">
      <c r="A171" s="17"/>
      <c r="B171" s="16"/>
      <c r="C171" s="18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" customHeight="1">
      <c r="A172" s="17"/>
      <c r="B172" s="16"/>
      <c r="C172" s="18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" customHeight="1">
      <c r="A173" s="17"/>
      <c r="B173" s="16"/>
      <c r="C173" s="18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" customHeight="1">
      <c r="A174" s="17"/>
      <c r="B174" s="16"/>
      <c r="C174" s="18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" customHeight="1">
      <c r="A175" s="17"/>
      <c r="B175" s="16"/>
      <c r="C175" s="18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" customHeight="1">
      <c r="A176" s="17"/>
      <c r="B176" s="16"/>
      <c r="C176" s="18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" customHeight="1">
      <c r="A177" s="17"/>
      <c r="B177" s="16"/>
      <c r="C177" s="1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" customHeight="1">
      <c r="A178" s="17"/>
      <c r="B178" s="16"/>
      <c r="C178" s="1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" customHeight="1">
      <c r="A179" s="17"/>
      <c r="B179" s="16"/>
      <c r="C179" s="18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" customHeight="1">
      <c r="A180" s="17"/>
      <c r="B180" s="16"/>
      <c r="C180" s="18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" customHeight="1">
      <c r="A181" s="17"/>
      <c r="B181" s="16"/>
      <c r="C181" s="18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" customHeight="1">
      <c r="A182" s="17"/>
      <c r="B182" s="16"/>
      <c r="C182" s="18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" customHeight="1">
      <c r="A183" s="17"/>
      <c r="B183" s="16"/>
      <c r="C183" s="18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" customHeight="1">
      <c r="A184" s="17"/>
      <c r="B184" s="16"/>
      <c r="C184" s="18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" customHeight="1">
      <c r="A185" s="17"/>
      <c r="B185" s="16"/>
      <c r="C185" s="18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" customHeight="1">
      <c r="A186" s="17"/>
      <c r="B186" s="16"/>
      <c r="C186" s="18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" customHeight="1">
      <c r="A187" s="17"/>
      <c r="B187" s="16"/>
      <c r="C187" s="18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" customHeight="1">
      <c r="A188" s="17"/>
      <c r="B188" s="16"/>
      <c r="C188" s="18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" customHeight="1">
      <c r="A189" s="17"/>
      <c r="B189" s="16"/>
      <c r="C189" s="18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" customHeight="1">
      <c r="A190" s="17"/>
      <c r="B190" s="16"/>
      <c r="C190" s="18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" customHeight="1">
      <c r="A191" s="17"/>
      <c r="B191" s="16"/>
      <c r="C191" s="18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" customHeight="1">
      <c r="A192" s="17"/>
      <c r="B192" s="16"/>
      <c r="C192" s="18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" customHeight="1">
      <c r="A193" s="17"/>
      <c r="B193" s="16"/>
      <c r="C193" s="18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" customHeight="1">
      <c r="A194" s="17"/>
      <c r="B194" s="16"/>
      <c r="C194" s="18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" customHeight="1">
      <c r="A195" s="17"/>
      <c r="B195" s="16"/>
      <c r="C195" s="18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" customHeight="1">
      <c r="A196" s="17"/>
      <c r="B196" s="16"/>
      <c r="C196" s="18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" customHeight="1">
      <c r="A197" s="17"/>
      <c r="B197" s="16"/>
      <c r="C197" s="18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" customHeight="1">
      <c r="A198" s="17"/>
      <c r="B198" s="16"/>
      <c r="C198" s="18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" customHeight="1">
      <c r="A199" s="17"/>
      <c r="B199" s="16"/>
      <c r="C199" s="18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" customHeight="1">
      <c r="A200" s="17"/>
      <c r="B200" s="16"/>
      <c r="C200" s="18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" customHeight="1">
      <c r="A201" s="17"/>
      <c r="B201" s="16"/>
      <c r="C201" s="18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" customHeight="1">
      <c r="A202" s="17"/>
      <c r="B202" s="16"/>
      <c r="C202" s="18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" customHeight="1">
      <c r="A203" s="17"/>
      <c r="B203" s="16"/>
      <c r="C203" s="18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" customHeight="1">
      <c r="A204" s="17"/>
      <c r="B204" s="16"/>
      <c r="C204" s="18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" customHeight="1">
      <c r="A205" s="17"/>
      <c r="B205" s="16"/>
      <c r="C205" s="18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" customHeight="1">
      <c r="A206" s="17"/>
      <c r="B206" s="16"/>
      <c r="C206" s="18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" customHeight="1">
      <c r="A207" s="17"/>
      <c r="B207" s="16"/>
      <c r="C207" s="18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" customHeight="1">
      <c r="A208" s="17"/>
      <c r="B208" s="16"/>
      <c r="C208" s="18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" customHeight="1">
      <c r="A209" s="17"/>
      <c r="B209" s="16"/>
      <c r="C209" s="18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" customHeight="1">
      <c r="A210" s="17"/>
      <c r="B210" s="16"/>
      <c r="C210" s="18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" customHeight="1">
      <c r="A211" s="17"/>
      <c r="B211" s="16"/>
      <c r="C211" s="18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" customHeight="1">
      <c r="A212" s="17"/>
      <c r="B212" s="16"/>
      <c r="C212" s="18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" customHeight="1">
      <c r="A213" s="17"/>
      <c r="B213" s="16"/>
      <c r="C213" s="18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" customHeight="1">
      <c r="A214" s="17"/>
      <c r="B214" s="16"/>
      <c r="C214" s="18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" customHeight="1">
      <c r="A215" s="17"/>
      <c r="B215" s="16"/>
      <c r="C215" s="18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" customHeight="1">
      <c r="A216" s="17"/>
      <c r="B216" s="16"/>
      <c r="C216" s="18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" customHeight="1">
      <c r="A217" s="17"/>
      <c r="B217" s="16"/>
      <c r="C217" s="18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" customHeight="1">
      <c r="A218" s="17"/>
      <c r="B218" s="16"/>
      <c r="C218" s="18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" customHeight="1">
      <c r="A219" s="17"/>
      <c r="B219" s="16"/>
      <c r="C219" s="18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" customHeight="1">
      <c r="A220" s="17"/>
      <c r="B220" s="16"/>
      <c r="C220" s="18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" customHeight="1">
      <c r="A221" s="17"/>
      <c r="B221" s="16"/>
      <c r="C221" s="18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" customHeight="1">
      <c r="A222" s="17"/>
      <c r="B222" s="16"/>
      <c r="C222" s="18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" customHeight="1">
      <c r="A223" s="17"/>
      <c r="B223" s="16"/>
      <c r="C223" s="18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" customHeight="1">
      <c r="A224" s="17"/>
      <c r="B224" s="16"/>
      <c r="C224" s="18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" customHeight="1">
      <c r="A225" s="17"/>
      <c r="B225" s="16"/>
      <c r="C225" s="18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" customHeight="1">
      <c r="A226" s="17"/>
      <c r="B226" s="16"/>
      <c r="C226" s="18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" customHeight="1">
      <c r="A227" s="17"/>
      <c r="B227" s="16"/>
      <c r="C227" s="18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" customHeight="1">
      <c r="A228" s="17"/>
      <c r="B228" s="16"/>
      <c r="C228" s="18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" customHeight="1">
      <c r="A229" s="17"/>
      <c r="B229" s="16"/>
      <c r="C229" s="18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" customHeight="1">
      <c r="A230" s="17"/>
      <c r="B230" s="16"/>
      <c r="C230" s="18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" customHeight="1">
      <c r="A231" s="17"/>
      <c r="B231" s="16"/>
      <c r="C231" s="18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" customHeight="1">
      <c r="A232" s="17"/>
      <c r="B232" s="16"/>
      <c r="C232" s="18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" customHeight="1">
      <c r="A233" s="17"/>
      <c r="B233" s="16"/>
      <c r="C233" s="18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" customHeight="1">
      <c r="A234" s="17"/>
      <c r="B234" s="16"/>
      <c r="C234" s="18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" customHeight="1">
      <c r="A235" s="17"/>
      <c r="B235" s="16"/>
      <c r="C235" s="18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" customHeight="1">
      <c r="A236" s="17"/>
      <c r="B236" s="16"/>
      <c r="C236" s="18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" customHeight="1">
      <c r="A237" s="17"/>
      <c r="B237" s="16"/>
      <c r="C237" s="1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" customHeight="1">
      <c r="A238" s="17"/>
      <c r="B238" s="16"/>
      <c r="C238" s="18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" customHeight="1">
      <c r="A239" s="17"/>
      <c r="B239" s="16"/>
      <c r="C239" s="18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" customHeight="1">
      <c r="A240" s="17"/>
      <c r="B240" s="16"/>
      <c r="C240" s="18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" customHeight="1">
      <c r="A241" s="17"/>
      <c r="B241" s="16"/>
      <c r="C241" s="18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" customHeight="1">
      <c r="A242" s="17"/>
      <c r="B242" s="16"/>
      <c r="C242" s="18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" customHeight="1">
      <c r="A243" s="17"/>
      <c r="B243" s="16"/>
      <c r="C243" s="18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" customHeight="1">
      <c r="A244" s="17"/>
      <c r="B244" s="16"/>
      <c r="C244" s="18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" customHeight="1">
      <c r="A245" s="17"/>
      <c r="B245" s="16"/>
      <c r="C245" s="18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" customHeight="1">
      <c r="A246" s="17"/>
      <c r="B246" s="16"/>
      <c r="C246" s="18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" customHeight="1">
      <c r="A247" s="17"/>
      <c r="B247" s="16"/>
      <c r="C247" s="18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" customHeight="1">
      <c r="A248" s="17"/>
      <c r="B248" s="16"/>
      <c r="C248" s="18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" customHeight="1">
      <c r="A249" s="17"/>
      <c r="B249" s="16"/>
      <c r="C249" s="18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" customHeight="1">
      <c r="A250" s="17"/>
      <c r="B250" s="16"/>
      <c r="C250" s="18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" customHeight="1">
      <c r="A251" s="17"/>
      <c r="B251" s="16"/>
      <c r="C251" s="18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" customHeight="1">
      <c r="A252" s="17"/>
      <c r="B252" s="16"/>
      <c r="C252" s="18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" customHeight="1">
      <c r="A253" s="17"/>
      <c r="B253" s="16"/>
      <c r="C253" s="18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" customHeight="1">
      <c r="A254" s="17"/>
      <c r="B254" s="16"/>
      <c r="C254" s="18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" customHeight="1">
      <c r="A255" s="17"/>
      <c r="B255" s="16"/>
      <c r="C255" s="18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" customHeight="1">
      <c r="A256" s="17"/>
      <c r="B256" s="16"/>
      <c r="C256" s="18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" customHeight="1">
      <c r="A257" s="17"/>
      <c r="B257" s="16"/>
      <c r="C257" s="18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" customHeight="1">
      <c r="A258" s="17"/>
      <c r="B258" s="16"/>
      <c r="C258" s="18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" customHeight="1">
      <c r="A259" s="17"/>
      <c r="B259" s="16"/>
      <c r="C259" s="18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" customHeight="1">
      <c r="A260" s="17"/>
      <c r="B260" s="16"/>
      <c r="C260" s="18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" customHeight="1">
      <c r="A261" s="17"/>
      <c r="B261" s="16"/>
      <c r="C261" s="18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" customHeight="1">
      <c r="A262" s="17"/>
      <c r="B262" s="16"/>
      <c r="C262" s="18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" customHeight="1">
      <c r="A263" s="17"/>
      <c r="B263" s="16"/>
      <c r="C263" s="18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" customHeight="1">
      <c r="A264" s="17"/>
      <c r="B264" s="16"/>
      <c r="C264" s="18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" customHeight="1">
      <c r="A265" s="17"/>
      <c r="B265" s="16"/>
      <c r="C265" s="18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" customHeight="1">
      <c r="A266" s="17"/>
      <c r="B266" s="16"/>
      <c r="C266" s="18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" customHeight="1">
      <c r="A267" s="17"/>
      <c r="B267" s="16"/>
      <c r="C267" s="18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" customHeight="1">
      <c r="A268" s="17"/>
      <c r="B268" s="16"/>
      <c r="C268" s="18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" customHeight="1">
      <c r="A269" s="17"/>
      <c r="B269" s="16"/>
      <c r="C269" s="18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" customHeight="1">
      <c r="A270" s="17"/>
      <c r="B270" s="16"/>
      <c r="C270" s="18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" customHeight="1">
      <c r="A271" s="17"/>
      <c r="B271" s="16"/>
      <c r="C271" s="18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" customHeight="1">
      <c r="A272" s="17"/>
      <c r="B272" s="16"/>
      <c r="C272" s="18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" customHeight="1">
      <c r="A273" s="17"/>
      <c r="B273" s="16"/>
      <c r="C273" s="18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" customHeight="1">
      <c r="A274" s="17"/>
      <c r="B274" s="16"/>
      <c r="C274" s="18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" customHeight="1">
      <c r="A275" s="17"/>
      <c r="B275" s="16"/>
      <c r="C275" s="18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" customHeight="1">
      <c r="A276" s="17"/>
      <c r="B276" s="16"/>
      <c r="C276" s="18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" customHeight="1">
      <c r="A277" s="17"/>
      <c r="B277" s="16"/>
      <c r="C277" s="18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" customHeight="1">
      <c r="A278" s="17"/>
      <c r="B278" s="16"/>
      <c r="C278" s="18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" customHeight="1">
      <c r="A279" s="17"/>
      <c r="B279" s="16"/>
      <c r="C279" s="18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" customHeight="1">
      <c r="A280" s="17"/>
      <c r="B280" s="16"/>
      <c r="C280" s="18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" customHeight="1">
      <c r="A281" s="17"/>
      <c r="B281" s="16"/>
      <c r="C281" s="18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" customHeight="1">
      <c r="A282" s="17"/>
      <c r="B282" s="16"/>
      <c r="C282" s="18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" customHeight="1">
      <c r="A283" s="17"/>
      <c r="B283" s="16"/>
      <c r="C283" s="18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" customHeight="1">
      <c r="A284" s="17"/>
      <c r="B284" s="16"/>
      <c r="C284" s="18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" customHeight="1">
      <c r="A285" s="17"/>
      <c r="B285" s="16"/>
      <c r="C285" s="18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" customHeight="1">
      <c r="A286" s="17"/>
      <c r="B286" s="16"/>
      <c r="C286" s="18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" customHeight="1">
      <c r="A287" s="17"/>
      <c r="B287" s="16"/>
      <c r="C287" s="18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" customHeight="1">
      <c r="A288" s="17"/>
      <c r="B288" s="16"/>
      <c r="C288" s="18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" customHeight="1">
      <c r="A289" s="17"/>
      <c r="B289" s="16"/>
      <c r="C289" s="18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" customHeight="1">
      <c r="A290" s="17"/>
      <c r="B290" s="16"/>
      <c r="C290" s="18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" customHeight="1">
      <c r="A291" s="17"/>
      <c r="B291" s="16"/>
      <c r="C291" s="18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" customHeight="1">
      <c r="A292" s="17"/>
      <c r="B292" s="16"/>
      <c r="C292" s="18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" customHeight="1">
      <c r="A293" s="17"/>
      <c r="B293" s="16"/>
      <c r="C293" s="18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" customHeight="1">
      <c r="A294" s="17"/>
      <c r="B294" s="16"/>
      <c r="C294" s="18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" customHeight="1">
      <c r="A295" s="17"/>
      <c r="B295" s="16"/>
      <c r="C295" s="18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" customHeight="1">
      <c r="A296" s="17"/>
      <c r="B296" s="16"/>
      <c r="C296" s="1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" customHeight="1">
      <c r="A297" s="17"/>
      <c r="B297" s="16"/>
      <c r="C297" s="1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" customHeight="1">
      <c r="A298" s="17"/>
      <c r="B298" s="16"/>
      <c r="C298" s="18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" customHeight="1">
      <c r="A299" s="17"/>
      <c r="B299" s="16"/>
      <c r="C299" s="18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" customHeight="1">
      <c r="A300" s="17"/>
      <c r="B300" s="16"/>
      <c r="C300" s="18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" customHeight="1">
      <c r="A301" s="17"/>
      <c r="B301" s="16"/>
      <c r="C301" s="18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" customHeight="1">
      <c r="A302" s="17"/>
      <c r="B302" s="16"/>
      <c r="C302" s="18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" customHeight="1">
      <c r="A303" s="17"/>
      <c r="B303" s="16"/>
      <c r="C303" s="18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" customHeight="1">
      <c r="A304" s="17"/>
      <c r="B304" s="16"/>
      <c r="C304" s="18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" customHeight="1">
      <c r="A305" s="17"/>
      <c r="B305" s="16"/>
      <c r="C305" s="18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" customHeight="1">
      <c r="A306" s="17"/>
      <c r="B306" s="16"/>
      <c r="C306" s="18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" customHeight="1">
      <c r="A307" s="17"/>
      <c r="B307" s="16"/>
      <c r="C307" s="18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" customHeight="1">
      <c r="A308" s="17"/>
      <c r="B308" s="16"/>
      <c r="C308" s="18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" customHeight="1">
      <c r="A309" s="17"/>
      <c r="B309" s="16"/>
      <c r="C309" s="18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" customHeight="1">
      <c r="A310" s="17"/>
      <c r="B310" s="16"/>
      <c r="C310" s="18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" customHeight="1">
      <c r="A311" s="17"/>
      <c r="B311" s="16"/>
      <c r="C311" s="18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" customHeight="1">
      <c r="A312" s="17"/>
      <c r="B312" s="16"/>
      <c r="C312" s="18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" customHeight="1">
      <c r="A313" s="17"/>
      <c r="B313" s="16"/>
      <c r="C313" s="18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" customHeight="1">
      <c r="A314" s="17"/>
      <c r="B314" s="16"/>
      <c r="C314" s="18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" customHeight="1">
      <c r="A315" s="17"/>
      <c r="B315" s="16"/>
      <c r="C315" s="18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" customHeight="1">
      <c r="A316" s="17"/>
      <c r="B316" s="16"/>
      <c r="C316" s="18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" customHeight="1">
      <c r="A317" s="17"/>
      <c r="B317" s="16"/>
      <c r="C317" s="18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" customHeight="1">
      <c r="A318" s="17"/>
      <c r="B318" s="16"/>
      <c r="C318" s="18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" customHeight="1">
      <c r="A319" s="17"/>
      <c r="B319" s="16"/>
      <c r="C319" s="18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" customHeight="1">
      <c r="A320" s="17"/>
      <c r="B320" s="16"/>
      <c r="C320" s="18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" customHeight="1">
      <c r="A321" s="17"/>
      <c r="B321" s="16"/>
      <c r="C321" s="18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" customHeight="1">
      <c r="A322" s="17"/>
      <c r="B322" s="16"/>
      <c r="C322" s="18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" customHeight="1">
      <c r="A323" s="17"/>
      <c r="B323" s="16"/>
      <c r="C323" s="18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" customHeight="1">
      <c r="A324" s="17"/>
      <c r="B324" s="16"/>
      <c r="C324" s="18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" customHeight="1">
      <c r="A325" s="17"/>
      <c r="B325" s="16"/>
      <c r="C325" s="18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" customHeight="1">
      <c r="A326" s="17"/>
      <c r="B326" s="16"/>
      <c r="C326" s="18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" customHeight="1">
      <c r="A327" s="17"/>
      <c r="B327" s="16"/>
      <c r="C327" s="18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" customHeight="1">
      <c r="A328" s="17"/>
      <c r="B328" s="16"/>
      <c r="C328" s="18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" customHeight="1">
      <c r="A329" s="17"/>
      <c r="B329" s="16"/>
      <c r="C329" s="18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" customHeight="1">
      <c r="A330" s="17"/>
      <c r="B330" s="16"/>
      <c r="C330" s="18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" customHeight="1">
      <c r="A331" s="17"/>
      <c r="B331" s="16"/>
      <c r="C331" s="18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" customHeight="1">
      <c r="A332" s="17"/>
      <c r="B332" s="16"/>
      <c r="C332" s="18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" customHeight="1">
      <c r="A333" s="17"/>
      <c r="B333" s="16"/>
      <c r="C333" s="18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" customHeight="1">
      <c r="A334" s="17"/>
      <c r="B334" s="16"/>
      <c r="C334" s="18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" customHeight="1">
      <c r="A335" s="17"/>
      <c r="B335" s="16"/>
      <c r="C335" s="18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" customHeight="1">
      <c r="A336" s="17"/>
      <c r="B336" s="16"/>
      <c r="C336" s="18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" customHeight="1">
      <c r="A337" s="17"/>
      <c r="B337" s="16"/>
      <c r="C337" s="18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" customHeight="1">
      <c r="A338" s="17"/>
      <c r="B338" s="16"/>
      <c r="C338" s="18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" customHeight="1">
      <c r="A339" s="17"/>
      <c r="B339" s="16"/>
      <c r="C339" s="18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" customHeight="1">
      <c r="A340" s="17"/>
      <c r="B340" s="16"/>
      <c r="C340" s="18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" customHeight="1">
      <c r="A341" s="17"/>
      <c r="B341" s="16"/>
      <c r="C341" s="18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" customHeight="1">
      <c r="A342" s="17"/>
      <c r="B342" s="16"/>
      <c r="C342" s="18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" customHeight="1">
      <c r="A343" s="17"/>
      <c r="B343" s="16"/>
      <c r="C343" s="18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" customHeight="1">
      <c r="A344" s="17"/>
      <c r="B344" s="16"/>
      <c r="C344" s="18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" customHeight="1">
      <c r="A345" s="17"/>
      <c r="B345" s="16"/>
      <c r="C345" s="18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" customHeight="1">
      <c r="A346" s="17"/>
      <c r="B346" s="16"/>
      <c r="C346" s="18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" customHeight="1">
      <c r="A347" s="17"/>
      <c r="B347" s="16"/>
      <c r="C347" s="18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" customHeight="1">
      <c r="A348" s="17"/>
      <c r="B348" s="16"/>
      <c r="C348" s="18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" customHeight="1">
      <c r="A349" s="17"/>
      <c r="B349" s="16"/>
      <c r="C349" s="18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" customHeight="1">
      <c r="A350" s="17"/>
      <c r="B350" s="16"/>
      <c r="C350" s="18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" customHeight="1">
      <c r="A351" s="17"/>
      <c r="B351" s="16"/>
      <c r="C351" s="18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" customHeight="1">
      <c r="A352" s="17"/>
      <c r="B352" s="16"/>
      <c r="C352" s="18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" customHeight="1">
      <c r="A353" s="17"/>
      <c r="B353" s="16"/>
      <c r="C353" s="18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" customHeight="1">
      <c r="A354" s="17"/>
      <c r="B354" s="16"/>
      <c r="C354" s="18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" customHeight="1">
      <c r="A355" s="17"/>
      <c r="B355" s="16"/>
      <c r="C355" s="18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" customHeight="1">
      <c r="A356" s="17"/>
      <c r="B356" s="16"/>
      <c r="C356" s="18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" customHeight="1">
      <c r="A357" s="17"/>
      <c r="B357" s="16"/>
      <c r="C357" s="18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" customHeight="1">
      <c r="A358" s="17"/>
      <c r="B358" s="16"/>
      <c r="C358" s="18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" customHeight="1">
      <c r="A359" s="17"/>
      <c r="B359" s="16"/>
      <c r="C359" s="18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" customHeight="1">
      <c r="A360" s="17"/>
      <c r="B360" s="16"/>
      <c r="C360" s="18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" customHeight="1">
      <c r="A361" s="17"/>
      <c r="B361" s="16"/>
      <c r="C361" s="18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" customHeight="1">
      <c r="A362" s="17"/>
      <c r="B362" s="16"/>
      <c r="C362" s="18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" customHeight="1">
      <c r="A363" s="17"/>
      <c r="B363" s="16"/>
      <c r="C363" s="18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" customHeight="1">
      <c r="A364" s="17"/>
      <c r="B364" s="16"/>
      <c r="C364" s="18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" customHeight="1">
      <c r="A365" s="17"/>
      <c r="B365" s="16"/>
      <c r="C365" s="18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" customHeight="1">
      <c r="A366" s="17"/>
      <c r="B366" s="16"/>
      <c r="C366" s="18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" customHeight="1">
      <c r="A367" s="17"/>
      <c r="B367" s="16"/>
      <c r="C367" s="18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" customHeight="1">
      <c r="A368" s="17"/>
      <c r="B368" s="16"/>
      <c r="C368" s="18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" customHeight="1">
      <c r="A369" s="17"/>
      <c r="B369" s="16"/>
      <c r="C369" s="18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" customHeight="1">
      <c r="A370" s="17"/>
      <c r="B370" s="16"/>
      <c r="C370" s="18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" customHeight="1">
      <c r="A371" s="17"/>
      <c r="B371" s="16"/>
      <c r="C371" s="18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" customHeight="1">
      <c r="A372" s="17"/>
      <c r="B372" s="16"/>
      <c r="C372" s="18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" customHeight="1">
      <c r="A373" s="17"/>
      <c r="B373" s="16"/>
      <c r="C373" s="18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" customHeight="1">
      <c r="A374" s="17"/>
      <c r="B374" s="16"/>
      <c r="C374" s="18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" customHeight="1">
      <c r="A375" s="17"/>
      <c r="B375" s="16"/>
      <c r="C375" s="18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" customHeight="1">
      <c r="A376" s="17"/>
      <c r="B376" s="16"/>
      <c r="C376" s="18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" customHeight="1">
      <c r="A377" s="17"/>
      <c r="B377" s="16"/>
      <c r="C377" s="18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" customHeight="1">
      <c r="A378" s="17"/>
      <c r="B378" s="16"/>
      <c r="C378" s="18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" customHeight="1">
      <c r="A379" s="17"/>
      <c r="B379" s="16"/>
      <c r="C379" s="18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" customHeight="1">
      <c r="A380" s="17"/>
      <c r="B380" s="16"/>
      <c r="C380" s="18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" customHeight="1">
      <c r="A381" s="17"/>
      <c r="B381" s="16"/>
      <c r="C381" s="18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" customHeight="1">
      <c r="A382" s="17"/>
      <c r="B382" s="16"/>
      <c r="C382" s="18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" customHeight="1">
      <c r="A383" s="17"/>
      <c r="B383" s="16"/>
      <c r="C383" s="18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" customHeight="1">
      <c r="A384" s="17"/>
      <c r="B384" s="16"/>
      <c r="C384" s="18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" customHeight="1">
      <c r="A385" s="17"/>
      <c r="B385" s="16"/>
      <c r="C385" s="18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" customHeight="1">
      <c r="A386" s="17"/>
      <c r="B386" s="16"/>
      <c r="C386" s="18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" customHeight="1">
      <c r="A387" s="17"/>
      <c r="B387" s="16"/>
      <c r="C387" s="18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" customHeight="1">
      <c r="A388" s="17"/>
      <c r="B388" s="16"/>
      <c r="C388" s="18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" customHeight="1">
      <c r="A389" s="17"/>
      <c r="B389" s="16"/>
      <c r="C389" s="18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" customHeight="1">
      <c r="A390" s="17"/>
      <c r="B390" s="16"/>
      <c r="C390" s="18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" customHeight="1">
      <c r="A391" s="17"/>
      <c r="B391" s="16"/>
      <c r="C391" s="18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" customHeight="1">
      <c r="A392" s="17"/>
      <c r="B392" s="16"/>
      <c r="C392" s="18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" customHeight="1">
      <c r="A393" s="17"/>
      <c r="B393" s="16"/>
      <c r="C393" s="18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" customHeight="1">
      <c r="A394" s="17"/>
      <c r="B394" s="16"/>
      <c r="C394" s="18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" customHeight="1">
      <c r="A395" s="17"/>
      <c r="B395" s="16"/>
      <c r="C395" s="18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" customHeight="1">
      <c r="A396" s="17"/>
      <c r="B396" s="16"/>
      <c r="C396" s="18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" customHeight="1">
      <c r="A397" s="17"/>
      <c r="B397" s="16"/>
      <c r="C397" s="18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" customHeight="1">
      <c r="A398" s="17"/>
      <c r="B398" s="16"/>
      <c r="C398" s="18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" customHeight="1">
      <c r="A399" s="17"/>
      <c r="B399" s="16"/>
      <c r="C399" s="18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" customHeight="1">
      <c r="A400" s="17"/>
      <c r="B400" s="16"/>
      <c r="C400" s="18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" customHeight="1">
      <c r="A401" s="17"/>
      <c r="B401" s="16"/>
      <c r="C401" s="18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" customHeight="1">
      <c r="A402" s="17"/>
      <c r="B402" s="16"/>
      <c r="C402" s="18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" customHeight="1">
      <c r="A403" s="17"/>
      <c r="B403" s="16"/>
      <c r="C403" s="18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" customHeight="1">
      <c r="A404" s="17"/>
      <c r="B404" s="16"/>
      <c r="C404" s="18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" customHeight="1">
      <c r="A405" s="17"/>
      <c r="B405" s="16"/>
      <c r="C405" s="18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" customHeight="1">
      <c r="A406" s="17"/>
      <c r="B406" s="16"/>
      <c r="C406" s="18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" customHeight="1">
      <c r="A407" s="17"/>
      <c r="B407" s="16"/>
      <c r="C407" s="18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" customHeight="1">
      <c r="A408" s="17"/>
      <c r="B408" s="16"/>
      <c r="C408" s="18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" customHeight="1">
      <c r="A409" s="17"/>
      <c r="B409" s="16"/>
      <c r="C409" s="18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" customHeight="1">
      <c r="A410" s="17"/>
      <c r="B410" s="16"/>
      <c r="C410" s="18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" customHeight="1">
      <c r="A411" s="17"/>
      <c r="B411" s="16"/>
      <c r="C411" s="18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" customHeight="1">
      <c r="A412" s="17"/>
      <c r="B412" s="16"/>
      <c r="C412" s="18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" customHeight="1">
      <c r="A413" s="17"/>
      <c r="B413" s="16"/>
      <c r="C413" s="18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" customHeight="1">
      <c r="A414" s="17"/>
      <c r="B414" s="16"/>
      <c r="C414" s="18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" customHeight="1">
      <c r="A415" s="17"/>
      <c r="B415" s="16"/>
      <c r="C415" s="18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" customHeight="1">
      <c r="A416" s="17"/>
      <c r="B416" s="16"/>
      <c r="C416" s="18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" customHeight="1">
      <c r="A417" s="17"/>
      <c r="B417" s="16"/>
      <c r="C417" s="18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" customHeight="1">
      <c r="A418" s="17"/>
      <c r="B418" s="16"/>
      <c r="C418" s="18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" customHeight="1">
      <c r="A419" s="17"/>
      <c r="B419" s="16"/>
      <c r="C419" s="18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" customHeight="1">
      <c r="A420" s="17"/>
      <c r="B420" s="16"/>
      <c r="C420" s="18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" customHeight="1">
      <c r="A421" s="17"/>
      <c r="B421" s="16"/>
      <c r="C421" s="18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" customHeight="1">
      <c r="A422" s="17"/>
      <c r="B422" s="16"/>
      <c r="C422" s="18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" customHeight="1">
      <c r="A423" s="17"/>
      <c r="B423" s="16"/>
      <c r="C423" s="18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" customHeight="1">
      <c r="A424" s="17"/>
      <c r="B424" s="16"/>
      <c r="C424" s="18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" customHeight="1">
      <c r="A425" s="17"/>
      <c r="B425" s="16"/>
      <c r="C425" s="18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" customHeight="1">
      <c r="A426" s="17"/>
      <c r="B426" s="16"/>
      <c r="C426" s="18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" customHeight="1">
      <c r="A427" s="17"/>
      <c r="B427" s="16"/>
      <c r="C427" s="18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" customHeight="1">
      <c r="A428" s="17"/>
      <c r="B428" s="16"/>
      <c r="C428" s="18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" customHeight="1">
      <c r="A429" s="17"/>
      <c r="B429" s="16"/>
      <c r="C429" s="18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" customHeight="1">
      <c r="A430" s="17"/>
      <c r="B430" s="16"/>
      <c r="C430" s="18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" customHeight="1">
      <c r="A431" s="17"/>
      <c r="B431" s="16"/>
      <c r="C431" s="18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" customHeight="1">
      <c r="A432" s="17"/>
      <c r="B432" s="16"/>
      <c r="C432" s="18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" customHeight="1">
      <c r="A433" s="17"/>
      <c r="B433" s="16"/>
      <c r="C433" s="18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" customHeight="1">
      <c r="A434" s="17"/>
      <c r="B434" s="16"/>
      <c r="C434" s="18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" customHeight="1">
      <c r="A435" s="17"/>
      <c r="B435" s="16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" customHeight="1">
      <c r="A436" s="17"/>
      <c r="B436" s="16"/>
      <c r="C436" s="18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" customHeight="1">
      <c r="A437" s="17"/>
      <c r="B437" s="16"/>
      <c r="C437" s="18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" customHeight="1">
      <c r="A438" s="17"/>
      <c r="B438" s="16"/>
      <c r="C438" s="18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" customHeight="1">
      <c r="A439" s="17"/>
      <c r="B439" s="16"/>
      <c r="C439" s="18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" customHeight="1">
      <c r="A440" s="17"/>
      <c r="B440" s="16"/>
      <c r="C440" s="18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" customHeight="1">
      <c r="A441" s="17"/>
      <c r="B441" s="16"/>
      <c r="C441" s="18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" customHeight="1">
      <c r="A442" s="17"/>
      <c r="B442" s="16"/>
      <c r="C442" s="18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" customHeight="1">
      <c r="A443" s="17"/>
      <c r="B443" s="16"/>
      <c r="C443" s="18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" customHeight="1">
      <c r="A444" s="17"/>
      <c r="B444" s="16"/>
      <c r="C444" s="18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" customHeight="1">
      <c r="A445" s="17"/>
      <c r="B445" s="16"/>
      <c r="C445" s="18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" customHeight="1">
      <c r="A446" s="17"/>
      <c r="B446" s="16"/>
      <c r="C446" s="18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" customHeight="1">
      <c r="A447" s="17"/>
      <c r="B447" s="16"/>
      <c r="C447" s="18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" customHeight="1">
      <c r="A448" s="17"/>
      <c r="B448" s="16"/>
      <c r="C448" s="18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" customHeight="1">
      <c r="A449" s="17"/>
      <c r="B449" s="16"/>
      <c r="C449" s="18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" customHeight="1">
      <c r="A450" s="17"/>
      <c r="B450" s="16"/>
      <c r="C450" s="18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" customHeight="1">
      <c r="A451" s="17"/>
      <c r="B451" s="16"/>
      <c r="C451" s="18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" customHeight="1">
      <c r="A452" s="17"/>
      <c r="B452" s="16"/>
      <c r="C452" s="18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" customHeight="1">
      <c r="A453" s="17"/>
      <c r="B453" s="16"/>
      <c r="C453" s="18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" customHeight="1">
      <c r="A454" s="17"/>
      <c r="B454" s="16"/>
      <c r="C454" s="18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" customHeight="1">
      <c r="A455" s="17"/>
      <c r="B455" s="16"/>
      <c r="C455" s="18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" customHeight="1">
      <c r="A456" s="17"/>
      <c r="B456" s="16"/>
      <c r="C456" s="18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" customHeight="1">
      <c r="A457" s="17"/>
      <c r="B457" s="16"/>
      <c r="C457" s="18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" customHeight="1">
      <c r="A458" s="17"/>
      <c r="B458" s="16"/>
      <c r="C458" s="18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" customHeight="1">
      <c r="A459" s="17"/>
      <c r="B459" s="16"/>
      <c r="C459" s="18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" customHeight="1">
      <c r="A460" s="17"/>
      <c r="B460" s="16"/>
      <c r="C460" s="18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" customHeight="1">
      <c r="A461" s="17"/>
      <c r="B461" s="16"/>
      <c r="C461" s="18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" customHeight="1">
      <c r="A462" s="17"/>
      <c r="B462" s="16"/>
      <c r="C462" s="18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" customHeight="1">
      <c r="A463" s="17"/>
      <c r="B463" s="16"/>
      <c r="C463" s="18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" customHeight="1">
      <c r="A464" s="17"/>
      <c r="B464" s="16"/>
      <c r="C464" s="18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" customHeight="1">
      <c r="A465" s="17"/>
      <c r="B465" s="16"/>
      <c r="C465" s="18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" customHeight="1">
      <c r="A466" s="17"/>
      <c r="B466" s="16"/>
      <c r="C466" s="18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" customHeight="1">
      <c r="A467" s="17"/>
      <c r="B467" s="16"/>
      <c r="C467" s="18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" customHeight="1">
      <c r="A468" s="17"/>
      <c r="B468" s="16"/>
      <c r="C468" s="18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" customHeight="1">
      <c r="A469" s="17"/>
      <c r="B469" s="16"/>
      <c r="C469" s="18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" customHeight="1">
      <c r="A470" s="17"/>
      <c r="B470" s="16"/>
      <c r="C470" s="18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" customHeight="1">
      <c r="A471" s="17"/>
      <c r="B471" s="16"/>
      <c r="C471" s="18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" customHeight="1">
      <c r="A472" s="17"/>
      <c r="B472" s="16"/>
      <c r="C472" s="18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" customHeight="1">
      <c r="A473" s="17"/>
      <c r="B473" s="16"/>
      <c r="C473" s="18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" customHeight="1">
      <c r="A474" s="17"/>
      <c r="B474" s="16"/>
      <c r="C474" s="18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" customHeight="1">
      <c r="A475" s="17"/>
      <c r="B475" s="16"/>
      <c r="C475" s="18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" customHeight="1">
      <c r="A476" s="17"/>
      <c r="B476" s="16"/>
      <c r="C476" s="18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" customHeight="1">
      <c r="A477" s="17"/>
      <c r="B477" s="16"/>
      <c r="C477" s="18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" customHeight="1">
      <c r="A478" s="17"/>
      <c r="B478" s="16"/>
      <c r="C478" s="18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" customHeight="1">
      <c r="A479" s="17"/>
      <c r="B479" s="16"/>
      <c r="C479" s="18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" customHeight="1">
      <c r="A480" s="17"/>
      <c r="B480" s="16"/>
      <c r="C480" s="18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" customHeight="1">
      <c r="A481" s="17"/>
      <c r="B481" s="16"/>
      <c r="C481" s="18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" customHeight="1">
      <c r="A482" s="17"/>
      <c r="B482" s="16"/>
      <c r="C482" s="18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" customHeight="1">
      <c r="A483" s="17"/>
      <c r="B483" s="16"/>
      <c r="C483" s="18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" customHeight="1">
      <c r="A484" s="17"/>
      <c r="B484" s="16"/>
      <c r="C484" s="18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" customHeight="1">
      <c r="A485" s="17"/>
      <c r="B485" s="16"/>
      <c r="C485" s="18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" customHeight="1">
      <c r="A486" s="17"/>
      <c r="B486" s="16"/>
      <c r="C486" s="18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" customHeight="1">
      <c r="A487" s="17"/>
      <c r="B487" s="16"/>
      <c r="C487" s="18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" customHeight="1">
      <c r="A488" s="17"/>
      <c r="B488" s="16"/>
      <c r="C488" s="18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" customHeight="1">
      <c r="A489" s="17"/>
      <c r="B489" s="16"/>
      <c r="C489" s="18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" customHeight="1">
      <c r="A490" s="17"/>
      <c r="B490" s="16"/>
      <c r="C490" s="18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" customHeight="1">
      <c r="A491" s="17"/>
      <c r="B491" s="16"/>
      <c r="C491" s="18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" customHeight="1">
      <c r="A492" s="17"/>
      <c r="B492" s="16"/>
      <c r="C492" s="18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" customHeight="1">
      <c r="A493" s="17"/>
      <c r="B493" s="16"/>
      <c r="C493" s="18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" customHeight="1">
      <c r="A494" s="17"/>
      <c r="B494" s="16"/>
      <c r="C494" s="18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" customHeight="1">
      <c r="A495" s="17"/>
      <c r="B495" s="16"/>
      <c r="C495" s="18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" customHeight="1">
      <c r="A496" s="17"/>
      <c r="B496" s="16"/>
      <c r="C496" s="18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" customHeight="1">
      <c r="A497" s="17"/>
      <c r="B497" s="16"/>
      <c r="C497" s="18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" customHeight="1">
      <c r="A498" s="17"/>
      <c r="B498" s="16"/>
      <c r="C498" s="18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" customHeight="1">
      <c r="A499" s="17"/>
      <c r="B499" s="16"/>
      <c r="C499" s="18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" customHeight="1">
      <c r="A500" s="17"/>
      <c r="B500" s="16"/>
      <c r="C500" s="18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" customHeight="1">
      <c r="A501" s="17"/>
      <c r="B501" s="16"/>
      <c r="C501" s="18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" customHeight="1">
      <c r="A502" s="17"/>
      <c r="B502" s="16"/>
      <c r="C502" s="18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" customHeight="1">
      <c r="A503" s="17"/>
      <c r="B503" s="16"/>
      <c r="C503" s="18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" customHeight="1">
      <c r="A504" s="17"/>
      <c r="B504" s="16"/>
      <c r="C504" s="18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" customHeight="1">
      <c r="A505" s="17"/>
      <c r="B505" s="16"/>
      <c r="C505" s="18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" customHeight="1">
      <c r="A506" s="17"/>
      <c r="B506" s="16"/>
      <c r="C506" s="18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" customHeight="1">
      <c r="A507" s="17"/>
      <c r="B507" s="16"/>
      <c r="C507" s="18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" customHeight="1">
      <c r="A508" s="17"/>
      <c r="B508" s="16"/>
      <c r="C508" s="18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" customHeight="1">
      <c r="A509" s="17"/>
      <c r="B509" s="16"/>
      <c r="C509" s="18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" customHeight="1">
      <c r="A510" s="17"/>
      <c r="B510" s="16"/>
      <c r="C510" s="18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" customHeight="1">
      <c r="A511" s="17"/>
      <c r="B511" s="16"/>
      <c r="C511" s="18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" customHeight="1">
      <c r="A512" s="17"/>
      <c r="B512" s="16"/>
      <c r="C512" s="18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" customHeight="1">
      <c r="A513" s="17"/>
      <c r="B513" s="16"/>
      <c r="C513" s="18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" customHeight="1">
      <c r="A514" s="17"/>
      <c r="B514" s="16"/>
      <c r="C514" s="18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" customHeight="1">
      <c r="A515" s="17"/>
      <c r="B515" s="16"/>
      <c r="C515" s="18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" customHeight="1">
      <c r="A516" s="17"/>
      <c r="B516" s="16"/>
      <c r="C516" s="18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" customHeight="1">
      <c r="A517" s="17"/>
      <c r="B517" s="16"/>
      <c r="C517" s="18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" customHeight="1">
      <c r="A518" s="17"/>
      <c r="B518" s="16"/>
      <c r="C518" s="18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" customHeight="1">
      <c r="A519" s="17"/>
      <c r="B519" s="16"/>
      <c r="C519" s="18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" customHeight="1">
      <c r="A520" s="17"/>
      <c r="B520" s="16"/>
      <c r="C520" s="18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" customHeight="1">
      <c r="A521" s="17"/>
      <c r="B521" s="16"/>
      <c r="C521" s="18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" customHeight="1">
      <c r="A522" s="17"/>
      <c r="B522" s="16"/>
      <c r="C522" s="18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" customHeight="1">
      <c r="A523" s="17"/>
      <c r="B523" s="16"/>
      <c r="C523" s="18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" customHeight="1">
      <c r="A524" s="17"/>
      <c r="B524" s="16"/>
      <c r="C524" s="18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" customHeight="1">
      <c r="A525" s="17"/>
      <c r="B525" s="16"/>
      <c r="C525" s="18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" customHeight="1">
      <c r="A526" s="17"/>
      <c r="B526" s="16"/>
      <c r="C526" s="18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" customHeight="1">
      <c r="A527" s="17"/>
      <c r="B527" s="16"/>
      <c r="C527" s="18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" customHeight="1">
      <c r="A528" s="17"/>
      <c r="B528" s="16"/>
      <c r="C528" s="18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" customHeight="1">
      <c r="A529" s="17"/>
      <c r="B529" s="16"/>
      <c r="C529" s="18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" customHeight="1">
      <c r="A530" s="17"/>
      <c r="B530" s="16"/>
      <c r="C530" s="18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" customHeight="1">
      <c r="A531" s="17"/>
      <c r="B531" s="16"/>
      <c r="C531" s="18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" customHeight="1">
      <c r="A532" s="17"/>
      <c r="B532" s="16"/>
      <c r="C532" s="18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" customHeight="1">
      <c r="A533" s="17"/>
      <c r="B533" s="16"/>
      <c r="C533" s="18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" customHeight="1">
      <c r="A534" s="17"/>
      <c r="B534" s="16"/>
      <c r="C534" s="18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" customHeight="1">
      <c r="A535" s="17"/>
      <c r="B535" s="16"/>
      <c r="C535" s="18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" customHeight="1">
      <c r="A536" s="17"/>
      <c r="B536" s="16"/>
      <c r="C536" s="18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" customHeight="1">
      <c r="A537" s="17"/>
      <c r="B537" s="16"/>
      <c r="C537" s="18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" customHeight="1">
      <c r="A538" s="17"/>
      <c r="B538" s="16"/>
      <c r="C538" s="18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" customHeight="1">
      <c r="A539" s="17"/>
      <c r="B539" s="16"/>
      <c r="C539" s="18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" customHeight="1">
      <c r="A540" s="17"/>
      <c r="B540" s="16"/>
      <c r="C540" s="18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" customHeight="1">
      <c r="A541" s="17"/>
      <c r="B541" s="16"/>
      <c r="C541" s="18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" customHeight="1">
      <c r="A542" s="17"/>
      <c r="B542" s="16"/>
      <c r="C542" s="18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" customHeight="1">
      <c r="A543" s="17"/>
      <c r="B543" s="16"/>
      <c r="C543" s="18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" customHeight="1">
      <c r="A544" s="17"/>
      <c r="B544" s="16"/>
      <c r="C544" s="18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" customHeight="1">
      <c r="A545" s="17"/>
      <c r="B545" s="16"/>
      <c r="C545" s="18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" customHeight="1">
      <c r="A546" s="17"/>
      <c r="B546" s="16"/>
      <c r="C546" s="18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" customHeight="1">
      <c r="A547" s="17"/>
      <c r="B547" s="16"/>
      <c r="C547" s="18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" customHeight="1">
      <c r="A548" s="17"/>
      <c r="B548" s="16"/>
      <c r="C548" s="18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" customHeight="1">
      <c r="A549" s="17"/>
      <c r="B549" s="16"/>
      <c r="C549" s="18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" customHeight="1">
      <c r="A550" s="17"/>
      <c r="B550" s="16"/>
      <c r="C550" s="18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" customHeight="1">
      <c r="A551" s="17"/>
      <c r="B551" s="16"/>
      <c r="C551" s="18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" customHeight="1">
      <c r="A552" s="17"/>
      <c r="B552" s="16"/>
      <c r="C552" s="18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" customHeight="1">
      <c r="A553" s="17"/>
      <c r="B553" s="16"/>
      <c r="C553" s="18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" customHeight="1">
      <c r="A554" s="17"/>
      <c r="B554" s="16"/>
      <c r="C554" s="18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" customHeight="1">
      <c r="A555" s="17"/>
      <c r="B555" s="16"/>
      <c r="C555" s="18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" customHeight="1">
      <c r="A556" s="17"/>
      <c r="B556" s="16"/>
      <c r="C556" s="18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" customHeight="1">
      <c r="A557" s="17"/>
      <c r="B557" s="16"/>
      <c r="C557" s="18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" customHeight="1">
      <c r="A558" s="17"/>
      <c r="B558" s="16"/>
      <c r="C558" s="18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" customHeight="1">
      <c r="A559" s="17"/>
      <c r="B559" s="16"/>
      <c r="C559" s="18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" customHeight="1">
      <c r="A560" s="17"/>
      <c r="B560" s="16"/>
      <c r="C560" s="18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" customHeight="1">
      <c r="A561" s="17"/>
      <c r="B561" s="16"/>
      <c r="C561" s="18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" customHeight="1">
      <c r="A562" s="17"/>
      <c r="B562" s="16"/>
      <c r="C562" s="18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" customHeight="1">
      <c r="A563" s="17"/>
      <c r="B563" s="16"/>
      <c r="C563" s="18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" customHeight="1">
      <c r="A564" s="17"/>
      <c r="B564" s="16"/>
      <c r="C564" s="18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" customHeight="1">
      <c r="A565" s="17"/>
      <c r="B565" s="16"/>
      <c r="C565" s="18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" customHeight="1">
      <c r="A566" s="17"/>
      <c r="B566" s="16"/>
      <c r="C566" s="18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" customHeight="1">
      <c r="A567" s="17"/>
      <c r="B567" s="16"/>
      <c r="C567" s="18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" customHeight="1">
      <c r="A568" s="17"/>
      <c r="B568" s="16"/>
      <c r="C568" s="18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" customHeight="1">
      <c r="A569" s="17"/>
      <c r="B569" s="16"/>
      <c r="C569" s="18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" customHeight="1">
      <c r="A570" s="17"/>
      <c r="B570" s="16"/>
      <c r="C570" s="18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" customHeight="1">
      <c r="A571" s="17"/>
      <c r="B571" s="16"/>
      <c r="C571" s="18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" customHeight="1">
      <c r="A572" s="17"/>
      <c r="B572" s="16"/>
      <c r="C572" s="18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" customHeight="1">
      <c r="A573" s="17"/>
      <c r="B573" s="16"/>
      <c r="C573" s="18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" customHeight="1">
      <c r="A574" s="17"/>
      <c r="B574" s="16"/>
      <c r="C574" s="18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" customHeight="1">
      <c r="A575" s="17"/>
      <c r="B575" s="16"/>
      <c r="C575" s="18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" customHeight="1">
      <c r="A576" s="17"/>
      <c r="B576" s="16"/>
      <c r="C576" s="18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" customHeight="1">
      <c r="A577" s="17"/>
      <c r="B577" s="16"/>
      <c r="C577" s="18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" customHeight="1">
      <c r="A578" s="17"/>
      <c r="B578" s="16"/>
      <c r="C578" s="18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" customHeight="1">
      <c r="A579" s="17"/>
      <c r="B579" s="16"/>
      <c r="C579" s="18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" customHeight="1">
      <c r="A580" s="17"/>
      <c r="B580" s="16"/>
      <c r="C580" s="18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" customHeight="1">
      <c r="A581" s="17"/>
      <c r="B581" s="16"/>
      <c r="C581" s="18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" customHeight="1">
      <c r="A582" s="17"/>
      <c r="B582" s="16"/>
      <c r="C582" s="18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" customHeight="1">
      <c r="A583" s="17"/>
      <c r="B583" s="16"/>
      <c r="C583" s="18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" customHeight="1">
      <c r="A584" s="17"/>
      <c r="B584" s="16"/>
      <c r="C584" s="18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" customHeight="1">
      <c r="A585" s="17"/>
      <c r="B585" s="16"/>
      <c r="C585" s="18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" customHeight="1">
      <c r="A586" s="17"/>
      <c r="B586" s="16"/>
      <c r="C586" s="18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" customHeight="1">
      <c r="A587" s="17"/>
      <c r="B587" s="16"/>
      <c r="C587" s="18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" customHeight="1">
      <c r="A588" s="17"/>
      <c r="B588" s="16"/>
      <c r="C588" s="18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" customHeight="1">
      <c r="A589" s="17"/>
      <c r="B589" s="16"/>
      <c r="C589" s="18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" customHeight="1">
      <c r="A590" s="17"/>
      <c r="B590" s="16"/>
      <c r="C590" s="18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" customHeight="1">
      <c r="A591" s="17"/>
      <c r="B591" s="16"/>
      <c r="C591" s="18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" customHeight="1">
      <c r="A592" s="17"/>
      <c r="B592" s="16"/>
      <c r="C592" s="18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" customHeight="1">
      <c r="A593" s="17"/>
      <c r="B593" s="16"/>
      <c r="C593" s="18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" customHeight="1">
      <c r="A594" s="17"/>
      <c r="B594" s="16"/>
      <c r="C594" s="18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" customHeight="1">
      <c r="A595" s="17"/>
      <c r="B595" s="16"/>
      <c r="C595" s="18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" customHeight="1">
      <c r="A596" s="17"/>
      <c r="B596" s="16"/>
      <c r="C596" s="18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" customHeight="1">
      <c r="A597" s="17"/>
      <c r="B597" s="16"/>
      <c r="C597" s="18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" customHeight="1">
      <c r="A598" s="17"/>
      <c r="B598" s="16"/>
      <c r="C598" s="18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" customHeight="1">
      <c r="A599" s="17"/>
      <c r="B599" s="16"/>
      <c r="C599" s="18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" customHeight="1">
      <c r="A600" s="17"/>
      <c r="B600" s="16"/>
      <c r="C600" s="18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" customHeight="1">
      <c r="A601" s="17"/>
      <c r="B601" s="16"/>
      <c r="C601" s="18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" customHeight="1">
      <c r="A602" s="17"/>
      <c r="B602" s="16"/>
      <c r="C602" s="18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" customHeight="1">
      <c r="A603" s="17"/>
      <c r="B603" s="16"/>
      <c r="C603" s="18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" customHeight="1">
      <c r="A604" s="17"/>
      <c r="B604" s="16"/>
      <c r="C604" s="18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" customHeight="1">
      <c r="A605" s="17"/>
      <c r="B605" s="16"/>
      <c r="C605" s="18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" customHeight="1">
      <c r="A606" s="17"/>
      <c r="B606" s="16"/>
      <c r="C606" s="18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" customHeight="1">
      <c r="A607" s="17"/>
      <c r="B607" s="16"/>
      <c r="C607" s="18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" customHeight="1">
      <c r="A608" s="17"/>
      <c r="B608" s="16"/>
      <c r="C608" s="18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" customHeight="1">
      <c r="A609" s="17"/>
      <c r="B609" s="16"/>
      <c r="C609" s="18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" customHeight="1">
      <c r="A610" s="17"/>
      <c r="B610" s="16"/>
      <c r="C610" s="18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" customHeight="1">
      <c r="A611" s="17"/>
      <c r="B611" s="16"/>
      <c r="C611" s="18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" customHeight="1">
      <c r="A612" s="17"/>
      <c r="B612" s="16"/>
      <c r="C612" s="18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" customHeight="1">
      <c r="A613" s="17"/>
      <c r="B613" s="16"/>
      <c r="C613" s="18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" customHeight="1">
      <c r="A614" s="17"/>
      <c r="B614" s="16"/>
      <c r="C614" s="18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" customHeight="1">
      <c r="A615" s="17"/>
      <c r="B615" s="16"/>
      <c r="C615" s="18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" customHeight="1">
      <c r="A616" s="17"/>
      <c r="B616" s="16"/>
      <c r="C616" s="18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" customHeight="1">
      <c r="A617" s="17"/>
      <c r="B617" s="16"/>
      <c r="C617" s="18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" customHeight="1">
      <c r="A618" s="17"/>
      <c r="B618" s="16"/>
      <c r="C618" s="18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" customHeight="1">
      <c r="A619" s="17"/>
      <c r="B619" s="16"/>
      <c r="C619" s="18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" customHeight="1">
      <c r="A620" s="17"/>
      <c r="B620" s="16"/>
      <c r="C620" s="18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" customHeight="1">
      <c r="A621" s="17"/>
      <c r="B621" s="16"/>
      <c r="C621" s="18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" customHeight="1">
      <c r="A622" s="17"/>
      <c r="B622" s="16"/>
      <c r="C622" s="18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" customHeight="1">
      <c r="A623" s="17"/>
      <c r="B623" s="16"/>
      <c r="C623" s="18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" customHeight="1">
      <c r="A624" s="17"/>
      <c r="B624" s="16"/>
      <c r="C624" s="18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" customHeight="1">
      <c r="A625" s="17"/>
      <c r="B625" s="16"/>
      <c r="C625" s="18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" customHeight="1">
      <c r="A626" s="17"/>
      <c r="B626" s="16"/>
      <c r="C626" s="18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" customHeight="1">
      <c r="A627" s="17"/>
      <c r="B627" s="16"/>
      <c r="C627" s="18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" customHeight="1">
      <c r="A628" s="17"/>
      <c r="B628" s="16"/>
      <c r="C628" s="18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" customHeight="1">
      <c r="A629" s="17"/>
      <c r="B629" s="16"/>
      <c r="C629" s="18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" customHeight="1">
      <c r="A630" s="17"/>
      <c r="B630" s="16"/>
      <c r="C630" s="18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" customHeight="1">
      <c r="A631" s="17"/>
      <c r="B631" s="16"/>
      <c r="C631" s="18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" customHeight="1">
      <c r="A632" s="17"/>
      <c r="B632" s="16"/>
      <c r="C632" s="18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" customHeight="1">
      <c r="A633" s="17"/>
      <c r="B633" s="16"/>
      <c r="C633" s="18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" customHeight="1">
      <c r="A634" s="17"/>
      <c r="B634" s="16"/>
      <c r="C634" s="18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" customHeight="1">
      <c r="A635" s="17"/>
      <c r="B635" s="16"/>
      <c r="C635" s="18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" customHeight="1">
      <c r="A636" s="17"/>
      <c r="B636" s="16"/>
      <c r="C636" s="18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" customHeight="1">
      <c r="A637" s="17"/>
      <c r="B637" s="16"/>
      <c r="C637" s="18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" customHeight="1">
      <c r="A638" s="17"/>
      <c r="B638" s="16"/>
      <c r="C638" s="18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" customHeight="1">
      <c r="A639" s="17"/>
      <c r="B639" s="16"/>
      <c r="C639" s="18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" customHeight="1">
      <c r="A640" s="17"/>
      <c r="B640" s="16"/>
      <c r="C640" s="18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" customHeight="1">
      <c r="A641" s="17"/>
      <c r="B641" s="16"/>
      <c r="C641" s="18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" customHeight="1">
      <c r="A642" s="17"/>
      <c r="B642" s="16"/>
      <c r="C642" s="18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" customHeight="1">
      <c r="A643" s="17"/>
      <c r="B643" s="16"/>
      <c r="C643" s="18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" customHeight="1">
      <c r="A644" s="17"/>
      <c r="B644" s="16"/>
      <c r="C644" s="18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" customHeight="1">
      <c r="A645" s="17"/>
      <c r="B645" s="16"/>
      <c r="C645" s="18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" customHeight="1">
      <c r="A646" s="17"/>
      <c r="B646" s="16"/>
      <c r="C646" s="18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" customHeight="1">
      <c r="A647" s="17"/>
      <c r="B647" s="16"/>
      <c r="C647" s="18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" customHeight="1">
      <c r="A648" s="17"/>
      <c r="B648" s="16"/>
      <c r="C648" s="18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" customHeight="1">
      <c r="A649" s="17"/>
      <c r="B649" s="16"/>
      <c r="C649" s="18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" customHeight="1">
      <c r="A650" s="17"/>
      <c r="B650" s="16"/>
      <c r="C650" s="18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" customHeight="1">
      <c r="A651" s="17"/>
      <c r="B651" s="16"/>
      <c r="C651" s="18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" customHeight="1">
      <c r="A652" s="17"/>
      <c r="B652" s="16"/>
      <c r="C652" s="18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" customHeight="1">
      <c r="A653" s="17"/>
      <c r="B653" s="16"/>
      <c r="C653" s="18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" customHeight="1">
      <c r="A654" s="17"/>
      <c r="B654" s="16"/>
      <c r="C654" s="18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" customHeight="1">
      <c r="A655" s="17"/>
      <c r="B655" s="16"/>
      <c r="C655" s="18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" customHeight="1">
      <c r="A656" s="17"/>
      <c r="B656" s="16"/>
      <c r="C656" s="18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" customHeight="1">
      <c r="A657" s="17"/>
      <c r="B657" s="16"/>
      <c r="C657" s="18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" customHeight="1">
      <c r="A658" s="17"/>
      <c r="B658" s="16"/>
      <c r="C658" s="18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" customHeight="1">
      <c r="A659" s="17"/>
      <c r="B659" s="16"/>
      <c r="C659" s="18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" customHeight="1">
      <c r="A660" s="17"/>
      <c r="B660" s="16"/>
      <c r="C660" s="18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" customHeight="1">
      <c r="A661" s="17"/>
      <c r="B661" s="16"/>
      <c r="C661" s="18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" customHeight="1">
      <c r="A662" s="17"/>
      <c r="B662" s="16"/>
      <c r="C662" s="18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" customHeight="1">
      <c r="A663" s="17"/>
      <c r="B663" s="16"/>
      <c r="C663" s="18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" customHeight="1">
      <c r="A664" s="17"/>
      <c r="B664" s="16"/>
      <c r="C664" s="18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" customHeight="1">
      <c r="A665" s="17"/>
      <c r="B665" s="16"/>
      <c r="C665" s="18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" customHeight="1">
      <c r="A666" s="17"/>
      <c r="B666" s="16"/>
      <c r="C666" s="18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" customHeight="1">
      <c r="A667" s="17"/>
      <c r="B667" s="16"/>
      <c r="C667" s="18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" customHeight="1">
      <c r="A668" s="17"/>
      <c r="B668" s="16"/>
      <c r="C668" s="18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" customHeight="1">
      <c r="A669" s="17"/>
      <c r="B669" s="16"/>
      <c r="C669" s="18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" customHeight="1">
      <c r="A670" s="17"/>
      <c r="B670" s="16"/>
      <c r="C670" s="18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" customHeight="1">
      <c r="A671" s="17"/>
      <c r="B671" s="16"/>
      <c r="C671" s="18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" customHeight="1">
      <c r="A672" s="17"/>
      <c r="B672" s="16"/>
      <c r="C672" s="18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" customHeight="1">
      <c r="A673" s="17"/>
      <c r="B673" s="16"/>
      <c r="C673" s="18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" customHeight="1">
      <c r="A674" s="17"/>
      <c r="B674" s="16"/>
      <c r="C674" s="18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" customHeight="1">
      <c r="A675" s="17"/>
      <c r="B675" s="16"/>
      <c r="C675" s="18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" customHeight="1">
      <c r="A676" s="17"/>
      <c r="B676" s="16"/>
      <c r="C676" s="18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" customHeight="1">
      <c r="A677" s="17"/>
      <c r="B677" s="16"/>
      <c r="C677" s="18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" customHeight="1">
      <c r="A678" s="17"/>
      <c r="B678" s="16"/>
      <c r="C678" s="18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" customHeight="1">
      <c r="A679" s="17"/>
      <c r="B679" s="16"/>
      <c r="C679" s="18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" customHeight="1">
      <c r="A680" s="17"/>
      <c r="B680" s="16"/>
      <c r="C680" s="18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" customHeight="1">
      <c r="A681" s="17"/>
      <c r="B681" s="16"/>
      <c r="C681" s="18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" customHeight="1">
      <c r="A682" s="17"/>
      <c r="B682" s="16"/>
      <c r="C682" s="18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" customHeight="1">
      <c r="A683" s="17"/>
      <c r="B683" s="16"/>
      <c r="C683" s="18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" customHeight="1">
      <c r="A684" s="17"/>
      <c r="B684" s="16"/>
      <c r="C684" s="18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" customHeight="1">
      <c r="A685" s="17"/>
      <c r="B685" s="16"/>
      <c r="C685" s="18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" customHeight="1">
      <c r="A686" s="17"/>
      <c r="B686" s="16"/>
      <c r="C686" s="18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" customHeight="1">
      <c r="A687" s="17"/>
      <c r="B687" s="16"/>
      <c r="C687" s="18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" customHeight="1">
      <c r="A688" s="17"/>
      <c r="B688" s="16"/>
      <c r="C688" s="18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" customHeight="1">
      <c r="A689" s="17"/>
      <c r="B689" s="16"/>
      <c r="C689" s="18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" customHeight="1">
      <c r="A690" s="17"/>
      <c r="B690" s="16"/>
      <c r="C690" s="18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" customHeight="1">
      <c r="A691" s="17"/>
      <c r="B691" s="16"/>
      <c r="C691" s="18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" customHeight="1">
      <c r="A692" s="17"/>
      <c r="B692" s="16"/>
      <c r="C692" s="18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" customHeight="1">
      <c r="A693" s="17"/>
      <c r="B693" s="16"/>
      <c r="C693" s="18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" customHeight="1">
      <c r="A694" s="17"/>
      <c r="B694" s="16"/>
      <c r="C694" s="18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" customHeight="1">
      <c r="A695" s="17"/>
      <c r="B695" s="16"/>
      <c r="C695" s="18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" customHeight="1">
      <c r="A696" s="17"/>
      <c r="B696" s="16"/>
      <c r="C696" s="18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" customHeight="1">
      <c r="A697" s="17"/>
      <c r="B697" s="16"/>
      <c r="C697" s="18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" customHeight="1">
      <c r="A698" s="17"/>
      <c r="B698" s="16"/>
      <c r="C698" s="18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" customHeight="1">
      <c r="A699" s="17"/>
      <c r="B699" s="16"/>
      <c r="C699" s="18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" customHeight="1">
      <c r="A700" s="17"/>
      <c r="B700" s="16"/>
      <c r="C700" s="18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" customHeight="1">
      <c r="A701" s="17"/>
      <c r="B701" s="16"/>
      <c r="C701" s="18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" customHeight="1">
      <c r="A702" s="17"/>
      <c r="B702" s="16"/>
      <c r="C702" s="18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" customHeight="1">
      <c r="A703" s="17"/>
      <c r="B703" s="16"/>
      <c r="C703" s="18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" customHeight="1">
      <c r="A704" s="17"/>
      <c r="B704" s="16"/>
      <c r="C704" s="18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" customHeight="1">
      <c r="A705" s="17"/>
      <c r="B705" s="16"/>
      <c r="C705" s="18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" customHeight="1">
      <c r="A706" s="17"/>
      <c r="B706" s="16"/>
      <c r="C706" s="18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" customHeight="1">
      <c r="A707" s="17"/>
      <c r="B707" s="16"/>
      <c r="C707" s="18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" customHeight="1">
      <c r="A708" s="17"/>
      <c r="B708" s="16"/>
      <c r="C708" s="18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" customHeight="1">
      <c r="A709" s="17"/>
      <c r="B709" s="16"/>
      <c r="C709" s="18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" customHeight="1">
      <c r="A710" s="17"/>
      <c r="B710" s="16"/>
      <c r="C710" s="18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" customHeight="1">
      <c r="A711" s="17"/>
      <c r="B711" s="16"/>
      <c r="C711" s="18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" customHeight="1">
      <c r="A712" s="17"/>
      <c r="B712" s="16"/>
      <c r="C712" s="18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" customHeight="1">
      <c r="A713" s="17"/>
      <c r="B713" s="16"/>
      <c r="C713" s="18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" customHeight="1">
      <c r="A714" s="17"/>
      <c r="B714" s="16"/>
      <c r="C714" s="18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" customHeight="1">
      <c r="A715" s="17"/>
      <c r="B715" s="16"/>
      <c r="C715" s="18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" customHeight="1">
      <c r="A716" s="17"/>
      <c r="B716" s="16"/>
      <c r="C716" s="18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" customHeight="1">
      <c r="A717" s="17"/>
      <c r="B717" s="16"/>
      <c r="C717" s="18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" customHeight="1">
      <c r="A718" s="17"/>
      <c r="B718" s="16"/>
      <c r="C718" s="18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" customHeight="1">
      <c r="A719" s="17"/>
      <c r="B719" s="16"/>
      <c r="C719" s="18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" customHeight="1">
      <c r="A720" s="17"/>
      <c r="B720" s="16"/>
      <c r="C720" s="18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" customHeight="1">
      <c r="A721" s="17"/>
      <c r="B721" s="16"/>
      <c r="C721" s="18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" customHeight="1">
      <c r="A722" s="17"/>
      <c r="B722" s="16"/>
      <c r="C722" s="18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" customHeight="1">
      <c r="A723" s="17"/>
      <c r="B723" s="16"/>
      <c r="C723" s="18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" customHeight="1">
      <c r="A724" s="17"/>
      <c r="B724" s="16"/>
      <c r="C724" s="18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" customHeight="1">
      <c r="A725" s="17"/>
      <c r="B725" s="16"/>
      <c r="C725" s="18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" customHeight="1">
      <c r="A726" s="17"/>
      <c r="B726" s="16"/>
      <c r="C726" s="18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" customHeight="1">
      <c r="A727" s="17"/>
      <c r="B727" s="16"/>
      <c r="C727" s="18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" customHeight="1">
      <c r="A728" s="17"/>
      <c r="B728" s="16"/>
      <c r="C728" s="18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" customHeight="1">
      <c r="A729" s="17"/>
      <c r="B729" s="16"/>
      <c r="C729" s="18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" customHeight="1">
      <c r="A730" s="17"/>
      <c r="B730" s="16"/>
      <c r="C730" s="18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" customHeight="1">
      <c r="A731" s="17"/>
      <c r="B731" s="16"/>
      <c r="C731" s="18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" customHeight="1">
      <c r="A732" s="17"/>
      <c r="B732" s="16"/>
      <c r="C732" s="18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" customHeight="1">
      <c r="A733" s="17"/>
      <c r="B733" s="16"/>
      <c r="C733" s="18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" customHeight="1">
      <c r="A734" s="17"/>
      <c r="B734" s="16"/>
      <c r="C734" s="18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" customHeight="1">
      <c r="A735" s="17"/>
      <c r="B735" s="16"/>
      <c r="C735" s="18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" customHeight="1">
      <c r="A736" s="17"/>
      <c r="B736" s="16"/>
      <c r="C736" s="18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" customHeight="1">
      <c r="A737" s="17"/>
      <c r="B737" s="16"/>
      <c r="C737" s="18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" customHeight="1">
      <c r="A738" s="17"/>
      <c r="B738" s="16"/>
      <c r="C738" s="18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" customHeight="1">
      <c r="A739" s="17"/>
      <c r="B739" s="16"/>
      <c r="C739" s="18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" customHeight="1">
      <c r="A740" s="17"/>
      <c r="B740" s="16"/>
      <c r="C740" s="18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" customHeight="1">
      <c r="A741" s="17"/>
      <c r="B741" s="16"/>
      <c r="C741" s="18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" customHeight="1">
      <c r="A742" s="17"/>
      <c r="B742" s="16"/>
      <c r="C742" s="18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" customHeight="1">
      <c r="A743" s="17"/>
      <c r="B743" s="16"/>
      <c r="C743" s="18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" customHeight="1">
      <c r="A744" s="17"/>
      <c r="B744" s="16"/>
      <c r="C744" s="18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" customHeight="1">
      <c r="A745" s="17"/>
      <c r="B745" s="16"/>
      <c r="C745" s="18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" customHeight="1">
      <c r="A746" s="17"/>
      <c r="B746" s="16"/>
      <c r="C746" s="18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" customHeight="1">
      <c r="A747" s="17"/>
      <c r="B747" s="16"/>
      <c r="C747" s="18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" customHeight="1">
      <c r="A748" s="17"/>
      <c r="B748" s="16"/>
      <c r="C748" s="18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" customHeight="1">
      <c r="A749" s="17"/>
      <c r="B749" s="16"/>
      <c r="C749" s="18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" customHeight="1">
      <c r="A750" s="17"/>
      <c r="B750" s="16"/>
      <c r="C750" s="18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" customHeight="1">
      <c r="A751" s="17"/>
      <c r="B751" s="16"/>
      <c r="C751" s="18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" customHeight="1">
      <c r="A752" s="17"/>
      <c r="B752" s="16"/>
      <c r="C752" s="18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" customHeight="1">
      <c r="A753" s="17"/>
      <c r="B753" s="16"/>
      <c r="C753" s="18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" customHeight="1">
      <c r="A754" s="17"/>
      <c r="B754" s="16"/>
      <c r="C754" s="18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" customHeight="1">
      <c r="A755" s="17"/>
      <c r="B755" s="16"/>
      <c r="C755" s="18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" customHeight="1">
      <c r="A756" s="17"/>
      <c r="B756" s="16"/>
      <c r="C756" s="18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" customHeight="1">
      <c r="A757" s="17"/>
      <c r="B757" s="16"/>
      <c r="C757" s="18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" customHeight="1">
      <c r="A758" s="17"/>
      <c r="B758" s="16"/>
      <c r="C758" s="18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" customHeight="1">
      <c r="A759" s="17"/>
      <c r="B759" s="16"/>
      <c r="C759" s="18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" customHeight="1">
      <c r="A760" s="17"/>
      <c r="B760" s="16"/>
      <c r="C760" s="18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" customHeight="1">
      <c r="A761" s="17"/>
      <c r="B761" s="16"/>
      <c r="C761" s="18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" customHeight="1">
      <c r="A762" s="17"/>
      <c r="B762" s="16"/>
      <c r="C762" s="18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" customHeight="1">
      <c r="A763" s="17"/>
      <c r="B763" s="16"/>
      <c r="C763" s="18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" customHeight="1">
      <c r="A764" s="17"/>
      <c r="B764" s="16"/>
      <c r="C764" s="18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" customHeight="1">
      <c r="A765" s="17"/>
      <c r="B765" s="16"/>
      <c r="C765" s="18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" customHeight="1">
      <c r="A766" s="17"/>
      <c r="B766" s="16"/>
      <c r="C766" s="18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" customHeight="1">
      <c r="A767" s="17"/>
      <c r="B767" s="16"/>
      <c r="C767" s="18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" customHeight="1">
      <c r="A768" s="17"/>
      <c r="B768" s="16"/>
      <c r="C768" s="18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" customHeight="1">
      <c r="A769" s="17"/>
      <c r="B769" s="16"/>
      <c r="C769" s="18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" customHeight="1">
      <c r="A770" s="17"/>
      <c r="B770" s="16"/>
      <c r="C770" s="18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" customHeight="1">
      <c r="A771" s="17"/>
      <c r="B771" s="16"/>
      <c r="C771" s="18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" customHeight="1">
      <c r="A772" s="17"/>
      <c r="B772" s="16"/>
      <c r="C772" s="18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" customHeight="1">
      <c r="A773" s="17"/>
      <c r="B773" s="16"/>
      <c r="C773" s="18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" customHeight="1">
      <c r="A774" s="17"/>
      <c r="B774" s="16"/>
      <c r="C774" s="18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" customHeight="1">
      <c r="A775" s="17"/>
      <c r="B775" s="16"/>
      <c r="C775" s="18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" customHeight="1">
      <c r="A776" s="17"/>
      <c r="B776" s="16"/>
      <c r="C776" s="18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" customHeight="1">
      <c r="A777" s="17"/>
      <c r="B777" s="16"/>
      <c r="C777" s="18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" customHeight="1">
      <c r="A778" s="17"/>
      <c r="B778" s="16"/>
      <c r="C778" s="18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" customHeight="1">
      <c r="A779" s="17"/>
      <c r="B779" s="16"/>
      <c r="C779" s="18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" customHeight="1">
      <c r="A780" s="17"/>
      <c r="B780" s="16"/>
      <c r="C780" s="18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" customHeight="1">
      <c r="A781" s="17"/>
      <c r="B781" s="16"/>
      <c r="C781" s="18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" customHeight="1">
      <c r="A782" s="17"/>
      <c r="B782" s="16"/>
      <c r="C782" s="18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" customHeight="1">
      <c r="A783" s="17"/>
      <c r="B783" s="16"/>
      <c r="C783" s="18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" customHeight="1">
      <c r="A784" s="17"/>
      <c r="B784" s="16"/>
      <c r="C784" s="18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" customHeight="1">
      <c r="A785" s="17"/>
      <c r="B785" s="16"/>
      <c r="C785" s="18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" customHeight="1">
      <c r="A786" s="17"/>
      <c r="B786" s="16"/>
      <c r="C786" s="18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" customHeight="1">
      <c r="A787" s="17"/>
      <c r="B787" s="16"/>
      <c r="C787" s="18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" customHeight="1">
      <c r="A788" s="17"/>
      <c r="B788" s="16"/>
      <c r="C788" s="18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" customHeight="1">
      <c r="A789" s="17"/>
      <c r="B789" s="16"/>
      <c r="C789" s="18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" customHeight="1">
      <c r="A790" s="17"/>
      <c r="B790" s="16"/>
      <c r="C790" s="18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" customHeight="1">
      <c r="A791" s="17"/>
      <c r="B791" s="16"/>
      <c r="C791" s="18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" customHeight="1">
      <c r="A792" s="17"/>
      <c r="B792" s="16"/>
      <c r="C792" s="18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" customHeight="1">
      <c r="A793" s="17"/>
      <c r="B793" s="16"/>
      <c r="C793" s="18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" customHeight="1">
      <c r="A794" s="17"/>
      <c r="B794" s="16"/>
      <c r="C794" s="18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" customHeight="1">
      <c r="A795" s="17"/>
      <c r="B795" s="16"/>
      <c r="C795" s="18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" customHeight="1">
      <c r="A796" s="17"/>
      <c r="B796" s="16"/>
      <c r="C796" s="18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" customHeight="1">
      <c r="A797" s="17"/>
      <c r="B797" s="16"/>
      <c r="C797" s="18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" customHeight="1">
      <c r="A798" s="17"/>
      <c r="B798" s="16"/>
      <c r="C798" s="18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" customHeight="1">
      <c r="A799" s="17"/>
      <c r="B799" s="16"/>
      <c r="C799" s="18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" customHeight="1">
      <c r="A800" s="17"/>
      <c r="B800" s="16"/>
      <c r="C800" s="18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" customHeight="1">
      <c r="A801" s="17"/>
      <c r="B801" s="16"/>
      <c r="C801" s="18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" customHeight="1">
      <c r="A802" s="17"/>
      <c r="B802" s="16"/>
      <c r="C802" s="18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" customHeight="1">
      <c r="A803" s="17"/>
      <c r="B803" s="16"/>
      <c r="C803" s="18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" customHeight="1">
      <c r="A804" s="17"/>
      <c r="B804" s="16"/>
      <c r="C804" s="18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" customHeight="1">
      <c r="A805" s="17"/>
      <c r="B805" s="16"/>
      <c r="C805" s="18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" customHeight="1">
      <c r="A806" s="17"/>
      <c r="B806" s="16"/>
      <c r="C806" s="18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" customHeight="1">
      <c r="A807" s="17"/>
      <c r="B807" s="16"/>
      <c r="C807" s="18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" customHeight="1">
      <c r="A808" s="17"/>
      <c r="B808" s="16"/>
      <c r="C808" s="18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" customHeight="1">
      <c r="A809" s="17"/>
      <c r="B809" s="16"/>
      <c r="C809" s="18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" customHeight="1">
      <c r="A810" s="17"/>
      <c r="B810" s="16"/>
      <c r="C810" s="18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" customHeight="1">
      <c r="A811" s="17"/>
      <c r="B811" s="16"/>
      <c r="C811" s="18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" customHeight="1">
      <c r="A812" s="17"/>
      <c r="B812" s="16"/>
      <c r="C812" s="18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" customHeight="1">
      <c r="A813" s="17"/>
      <c r="B813" s="16"/>
      <c r="C813" s="18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" customHeight="1">
      <c r="A814" s="17"/>
      <c r="B814" s="16"/>
      <c r="C814" s="18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" customHeight="1">
      <c r="A815" s="17"/>
      <c r="B815" s="16"/>
      <c r="C815" s="18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" customHeight="1">
      <c r="A816" s="17"/>
      <c r="B816" s="16"/>
      <c r="C816" s="18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" customHeight="1">
      <c r="A817" s="17"/>
      <c r="B817" s="16"/>
      <c r="C817" s="18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" customHeight="1">
      <c r="A818" s="17"/>
      <c r="B818" s="16"/>
      <c r="C818" s="18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" customHeight="1">
      <c r="A819" s="17"/>
      <c r="B819" s="16"/>
      <c r="C819" s="18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" customHeight="1">
      <c r="A820" s="17"/>
      <c r="B820" s="16"/>
      <c r="C820" s="18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" customHeight="1">
      <c r="A821" s="17"/>
      <c r="B821" s="16"/>
      <c r="C821" s="18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" customHeight="1">
      <c r="A822" s="17"/>
      <c r="B822" s="16"/>
      <c r="C822" s="18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" customHeight="1">
      <c r="A823" s="17"/>
      <c r="B823" s="16"/>
      <c r="C823" s="18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" customHeight="1">
      <c r="A824" s="17"/>
      <c r="B824" s="16"/>
      <c r="C824" s="18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" customHeight="1">
      <c r="A825" s="17"/>
      <c r="B825" s="16"/>
      <c r="C825" s="18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" customHeight="1">
      <c r="A826" s="17"/>
      <c r="B826" s="16"/>
      <c r="C826" s="18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" customHeight="1">
      <c r="A827" s="17"/>
      <c r="B827" s="16"/>
      <c r="C827" s="18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" customHeight="1">
      <c r="A828" s="17"/>
      <c r="B828" s="16"/>
      <c r="C828" s="18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" customHeight="1">
      <c r="A829" s="17"/>
      <c r="B829" s="16"/>
      <c r="C829" s="18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" customHeight="1">
      <c r="A830" s="17"/>
      <c r="B830" s="16"/>
      <c r="C830" s="18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" customHeight="1">
      <c r="A831" s="17"/>
      <c r="B831" s="16"/>
      <c r="C831" s="18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" customHeight="1">
      <c r="A832" s="17"/>
      <c r="B832" s="16"/>
      <c r="C832" s="18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" customHeight="1">
      <c r="A833" s="17"/>
      <c r="B833" s="16"/>
      <c r="C833" s="18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" customHeight="1">
      <c r="A834" s="17"/>
      <c r="B834" s="16"/>
      <c r="C834" s="18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" customHeight="1">
      <c r="A835" s="17"/>
      <c r="B835" s="16"/>
      <c r="C835" s="18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" customHeight="1">
      <c r="A836" s="17"/>
      <c r="B836" s="16"/>
      <c r="C836" s="18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" customHeight="1">
      <c r="A837" s="17"/>
      <c r="B837" s="16"/>
      <c r="C837" s="18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" customHeight="1">
      <c r="A838" s="17"/>
      <c r="B838" s="16"/>
      <c r="C838" s="18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" customHeight="1">
      <c r="A839" s="17"/>
      <c r="B839" s="16"/>
      <c r="C839" s="18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" customHeight="1">
      <c r="A840" s="17"/>
      <c r="B840" s="16"/>
      <c r="C840" s="18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" customHeight="1">
      <c r="A841" s="17"/>
      <c r="B841" s="16"/>
      <c r="C841" s="18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" customHeight="1">
      <c r="A842" s="17"/>
      <c r="B842" s="16"/>
      <c r="C842" s="18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" customHeight="1">
      <c r="A843" s="17"/>
      <c r="B843" s="16"/>
      <c r="C843" s="18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" customHeight="1">
      <c r="A844" s="17"/>
      <c r="B844" s="16"/>
      <c r="C844" s="18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" customHeight="1">
      <c r="A845" s="17"/>
      <c r="B845" s="16"/>
      <c r="C845" s="18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" customHeight="1">
      <c r="A846" s="17"/>
      <c r="B846" s="16"/>
      <c r="C846" s="18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" customHeight="1">
      <c r="A847" s="17"/>
      <c r="B847" s="16"/>
      <c r="C847" s="18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" customHeight="1">
      <c r="A848" s="17"/>
      <c r="B848" s="16"/>
      <c r="C848" s="18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" customHeight="1">
      <c r="A849" s="17"/>
      <c r="B849" s="16"/>
      <c r="C849" s="18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" customHeight="1">
      <c r="A850" s="17"/>
      <c r="B850" s="16"/>
      <c r="C850" s="18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" customHeight="1">
      <c r="A851" s="17"/>
      <c r="B851" s="16"/>
      <c r="C851" s="18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" customHeight="1">
      <c r="A852" s="17"/>
      <c r="B852" s="16"/>
      <c r="C852" s="18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" customHeight="1">
      <c r="A853" s="17"/>
      <c r="B853" s="16"/>
      <c r="C853" s="18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" customHeight="1">
      <c r="A854" s="17"/>
      <c r="B854" s="16"/>
      <c r="C854" s="18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" customHeight="1">
      <c r="A855" s="17"/>
      <c r="B855" s="16"/>
      <c r="C855" s="18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" customHeight="1">
      <c r="A856" s="17"/>
      <c r="B856" s="16"/>
      <c r="C856" s="18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" customHeight="1">
      <c r="A857" s="17"/>
      <c r="B857" s="16"/>
      <c r="C857" s="18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" customHeight="1">
      <c r="A858" s="17"/>
      <c r="B858" s="16"/>
      <c r="C858" s="18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" customHeight="1">
      <c r="A859" s="17"/>
      <c r="B859" s="16"/>
      <c r="C859" s="18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" customHeight="1">
      <c r="A860" s="17"/>
      <c r="B860" s="16"/>
      <c r="C860" s="18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" customHeight="1">
      <c r="A861" s="17"/>
      <c r="B861" s="16"/>
      <c r="C861" s="18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" customHeight="1">
      <c r="A862" s="17"/>
      <c r="B862" s="16"/>
      <c r="C862" s="18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" customHeight="1">
      <c r="A863" s="17"/>
      <c r="B863" s="16"/>
      <c r="C863" s="18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" customHeight="1">
      <c r="A864" s="17"/>
      <c r="B864" s="16"/>
      <c r="C864" s="18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" customHeight="1">
      <c r="A865" s="17"/>
      <c r="B865" s="16"/>
      <c r="C865" s="18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" customHeight="1">
      <c r="A866" s="17"/>
      <c r="B866" s="16"/>
      <c r="C866" s="18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" customHeight="1">
      <c r="A867" s="17"/>
      <c r="B867" s="16"/>
      <c r="C867" s="18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" customHeight="1">
      <c r="A868" s="17"/>
      <c r="B868" s="16"/>
      <c r="C868" s="18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" customHeight="1">
      <c r="A869" s="17"/>
      <c r="B869" s="16"/>
      <c r="C869" s="18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" customHeight="1">
      <c r="A870" s="17"/>
      <c r="B870" s="16"/>
      <c r="C870" s="18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" customHeight="1">
      <c r="A871" s="17"/>
      <c r="B871" s="16"/>
      <c r="C871" s="18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" customHeight="1">
      <c r="A872" s="17"/>
      <c r="B872" s="16"/>
      <c r="C872" s="18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" customHeight="1">
      <c r="A873" s="17"/>
      <c r="B873" s="16"/>
      <c r="C873" s="18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" customHeight="1">
      <c r="A874" s="17"/>
      <c r="B874" s="16"/>
      <c r="C874" s="18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" customHeight="1">
      <c r="A875" s="17"/>
      <c r="B875" s="16"/>
      <c r="C875" s="18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" customHeight="1">
      <c r="A876" s="17"/>
      <c r="B876" s="16"/>
      <c r="C876" s="18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" customHeight="1">
      <c r="A877" s="17"/>
      <c r="B877" s="16"/>
      <c r="C877" s="18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" customHeight="1">
      <c r="A878" s="17"/>
      <c r="B878" s="16"/>
      <c r="C878" s="18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" customHeight="1">
      <c r="A879" s="17"/>
      <c r="B879" s="16"/>
      <c r="C879" s="18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" customHeight="1">
      <c r="A880" s="17"/>
      <c r="B880" s="16"/>
      <c r="C880" s="18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" customHeight="1">
      <c r="A881" s="17"/>
      <c r="B881" s="16"/>
      <c r="C881" s="18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" customHeight="1">
      <c r="A882" s="17"/>
      <c r="B882" s="16"/>
      <c r="C882" s="18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" customHeight="1">
      <c r="A883" s="17"/>
      <c r="B883" s="16"/>
      <c r="C883" s="18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" customHeight="1">
      <c r="A884" s="17"/>
      <c r="B884" s="16"/>
      <c r="C884" s="18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" customHeight="1">
      <c r="A885" s="17"/>
      <c r="B885" s="16"/>
      <c r="C885" s="18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" customHeight="1">
      <c r="A886" s="17"/>
      <c r="B886" s="16"/>
      <c r="C886" s="18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" customHeight="1">
      <c r="A887" s="17"/>
      <c r="B887" s="16"/>
      <c r="C887" s="18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" customHeight="1">
      <c r="A888" s="17"/>
      <c r="B888" s="16"/>
      <c r="C888" s="18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" customHeight="1">
      <c r="A889" s="17"/>
      <c r="B889" s="16"/>
      <c r="C889" s="18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" customHeight="1">
      <c r="A890" s="17"/>
      <c r="B890" s="16"/>
      <c r="C890" s="18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" customHeight="1">
      <c r="A891" s="17"/>
      <c r="B891" s="16"/>
      <c r="C891" s="18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" customHeight="1">
      <c r="A892" s="17"/>
      <c r="B892" s="16"/>
      <c r="C892" s="18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" customHeight="1">
      <c r="A893" s="17"/>
      <c r="B893" s="16"/>
      <c r="C893" s="18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" customHeight="1">
      <c r="A894" s="17"/>
      <c r="B894" s="16"/>
      <c r="C894" s="18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" customHeight="1">
      <c r="A895" s="17"/>
      <c r="B895" s="16"/>
      <c r="C895" s="18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" customHeight="1">
      <c r="A896" s="17"/>
      <c r="B896" s="16"/>
      <c r="C896" s="18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" customHeight="1">
      <c r="A897" s="17"/>
      <c r="B897" s="16"/>
      <c r="C897" s="18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" customHeight="1">
      <c r="A898" s="17"/>
      <c r="B898" s="16"/>
      <c r="C898" s="18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" customHeight="1">
      <c r="A899" s="17"/>
      <c r="B899" s="16"/>
      <c r="C899" s="18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" customHeight="1">
      <c r="A900" s="17"/>
      <c r="B900" s="16"/>
      <c r="C900" s="18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" customHeight="1">
      <c r="A901" s="17"/>
      <c r="B901" s="16"/>
      <c r="C901" s="18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" customHeight="1">
      <c r="A902" s="17"/>
      <c r="B902" s="16"/>
      <c r="C902" s="18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" customHeight="1">
      <c r="A903" s="17"/>
      <c r="B903" s="16"/>
      <c r="C903" s="18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" customHeight="1">
      <c r="A904" s="17"/>
      <c r="B904" s="16"/>
      <c r="C904" s="18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" customHeight="1">
      <c r="A905" s="17"/>
      <c r="B905" s="16"/>
      <c r="C905" s="18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" customHeight="1">
      <c r="A906" s="17"/>
      <c r="B906" s="16"/>
      <c r="C906" s="18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" customHeight="1">
      <c r="A907" s="17"/>
      <c r="B907" s="16"/>
      <c r="C907" s="18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" customHeight="1">
      <c r="A908" s="17"/>
      <c r="B908" s="16"/>
      <c r="C908" s="18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" customHeight="1">
      <c r="A909" s="17"/>
      <c r="B909" s="16"/>
      <c r="C909" s="18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" customHeight="1">
      <c r="A910" s="17"/>
      <c r="B910" s="16"/>
      <c r="C910" s="18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" customHeight="1">
      <c r="A911" s="17"/>
      <c r="B911" s="16"/>
      <c r="C911" s="18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" customHeight="1">
      <c r="A912" s="17"/>
      <c r="B912" s="16"/>
      <c r="C912" s="18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" customHeight="1">
      <c r="A913" s="17"/>
      <c r="B913" s="16"/>
      <c r="C913" s="18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" customHeight="1">
      <c r="A914" s="17"/>
      <c r="B914" s="16"/>
      <c r="C914" s="18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" customHeight="1">
      <c r="A915" s="17"/>
      <c r="B915" s="16"/>
      <c r="C915" s="18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" customHeight="1">
      <c r="A916" s="17"/>
      <c r="B916" s="16"/>
      <c r="C916" s="18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" customHeight="1">
      <c r="A917" s="17"/>
      <c r="B917" s="16"/>
      <c r="C917" s="18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" customHeight="1">
      <c r="A918" s="17"/>
      <c r="B918" s="16"/>
      <c r="C918" s="18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" customHeight="1">
      <c r="A919" s="17"/>
      <c r="B919" s="16"/>
      <c r="C919" s="18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" customHeight="1">
      <c r="A920" s="17"/>
      <c r="B920" s="16"/>
      <c r="C920" s="18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" customHeight="1">
      <c r="A921" s="17"/>
      <c r="B921" s="16"/>
      <c r="C921" s="18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" customHeight="1">
      <c r="A922" s="17"/>
      <c r="B922" s="16"/>
      <c r="C922" s="18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" customHeight="1">
      <c r="A923" s="17"/>
      <c r="B923" s="16"/>
      <c r="C923" s="18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" customHeight="1">
      <c r="A924" s="17"/>
      <c r="B924" s="16"/>
      <c r="C924" s="18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" customHeight="1">
      <c r="A925" s="17"/>
      <c r="B925" s="16"/>
      <c r="C925" s="18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" customHeight="1">
      <c r="A926" s="17"/>
      <c r="B926" s="16"/>
      <c r="C926" s="18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" customHeight="1">
      <c r="A927" s="17"/>
      <c r="B927" s="16"/>
      <c r="C927" s="18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" customHeight="1">
      <c r="A928" s="17"/>
      <c r="B928" s="16"/>
      <c r="C928" s="18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" customHeight="1">
      <c r="A929" s="17"/>
      <c r="B929" s="16"/>
      <c r="C929" s="18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" customHeight="1">
      <c r="A930" s="17"/>
      <c r="B930" s="16"/>
      <c r="C930" s="18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" customHeight="1">
      <c r="A931" s="17"/>
      <c r="B931" s="16"/>
      <c r="C931" s="18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" customHeight="1">
      <c r="A932" s="17"/>
      <c r="B932" s="16"/>
      <c r="C932" s="18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" customHeight="1">
      <c r="A933" s="17"/>
      <c r="B933" s="16"/>
      <c r="C933" s="18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" customHeight="1">
      <c r="A934" s="17"/>
      <c r="B934" s="16"/>
      <c r="C934" s="18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" customHeight="1">
      <c r="A935" s="17"/>
      <c r="B935" s="16"/>
      <c r="C935" s="18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" customHeight="1">
      <c r="A936" s="17"/>
      <c r="B936" s="16"/>
      <c r="C936" s="18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" customHeight="1">
      <c r="A937" s="17"/>
      <c r="B937" s="16"/>
      <c r="C937" s="18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" customHeight="1">
      <c r="A938" s="17"/>
      <c r="B938" s="16"/>
      <c r="C938" s="18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" customHeight="1">
      <c r="A939" s="17"/>
      <c r="B939" s="16"/>
      <c r="C939" s="18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" customHeight="1">
      <c r="A940" s="17"/>
      <c r="B940" s="16"/>
      <c r="C940" s="18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" customHeight="1">
      <c r="A941" s="17"/>
      <c r="B941" s="16"/>
      <c r="C941" s="18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" customHeight="1">
      <c r="A942" s="17"/>
      <c r="B942" s="16"/>
      <c r="C942" s="18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" customHeight="1">
      <c r="A943" s="17"/>
      <c r="B943" s="16"/>
      <c r="C943" s="18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" customHeight="1">
      <c r="A944" s="17"/>
      <c r="B944" s="16"/>
      <c r="C944" s="18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" customHeight="1">
      <c r="A945" s="17"/>
      <c r="B945" s="16"/>
      <c r="C945" s="18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" customHeight="1">
      <c r="A946" s="17"/>
      <c r="B946" s="16"/>
      <c r="C946" s="18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" customHeight="1">
      <c r="A947" s="17"/>
      <c r="B947" s="16"/>
      <c r="C947" s="18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" customHeight="1">
      <c r="A948" s="17"/>
      <c r="B948" s="16"/>
      <c r="C948" s="18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" customHeight="1">
      <c r="A949" s="17"/>
      <c r="B949" s="16"/>
      <c r="C949" s="18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" customHeight="1">
      <c r="A950" s="17"/>
      <c r="B950" s="16"/>
      <c r="C950" s="18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" customHeight="1">
      <c r="A951" s="17"/>
      <c r="B951" s="16"/>
      <c r="C951" s="18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" customHeight="1">
      <c r="A952" s="17"/>
      <c r="B952" s="16"/>
      <c r="C952" s="18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" customHeight="1">
      <c r="A953" s="17"/>
      <c r="B953" s="16"/>
      <c r="C953" s="18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" customHeight="1">
      <c r="A954" s="17"/>
      <c r="B954" s="16"/>
      <c r="C954" s="18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" customHeight="1">
      <c r="A955" s="17"/>
      <c r="B955" s="16"/>
      <c r="C955" s="18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" customHeight="1">
      <c r="A956" s="17"/>
      <c r="B956" s="16"/>
      <c r="C956" s="18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" customHeight="1">
      <c r="A957" s="17"/>
      <c r="B957" s="16"/>
      <c r="C957" s="18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" customHeight="1">
      <c r="A958" s="17"/>
      <c r="B958" s="16"/>
      <c r="C958" s="18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" customHeight="1">
      <c r="A959" s="17"/>
      <c r="B959" s="16"/>
      <c r="C959" s="18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" customHeight="1">
      <c r="A960" s="17"/>
      <c r="B960" s="16"/>
      <c r="C960" s="18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" customHeight="1">
      <c r="A961" s="17"/>
      <c r="B961" s="16"/>
      <c r="C961" s="18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" customHeight="1">
      <c r="A962" s="17"/>
      <c r="B962" s="16"/>
      <c r="C962" s="18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" customHeight="1">
      <c r="A963" s="17"/>
      <c r="B963" s="16"/>
      <c r="C963" s="18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" customHeight="1">
      <c r="A964" s="17"/>
      <c r="B964" s="16"/>
      <c r="C964" s="18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" customHeight="1">
      <c r="A965" s="17"/>
      <c r="B965" s="16"/>
      <c r="C965" s="18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" customHeight="1">
      <c r="A966" s="17"/>
      <c r="B966" s="16"/>
      <c r="C966" s="18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" customHeight="1">
      <c r="A967" s="17"/>
      <c r="B967" s="16"/>
      <c r="C967" s="18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" customHeight="1">
      <c r="A968" s="17"/>
      <c r="B968" s="16"/>
      <c r="C968" s="18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" customHeight="1">
      <c r="A969" s="17"/>
      <c r="B969" s="16"/>
      <c r="C969" s="18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" customHeight="1">
      <c r="A970" s="17"/>
      <c r="B970" s="16"/>
      <c r="C970" s="18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" customHeight="1">
      <c r="A971" s="17"/>
      <c r="B971" s="16"/>
      <c r="C971" s="18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" customHeight="1">
      <c r="A972" s="17"/>
      <c r="B972" s="16"/>
      <c r="C972" s="18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" customHeight="1">
      <c r="A973" s="17"/>
      <c r="B973" s="16"/>
      <c r="C973" s="18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" customHeight="1">
      <c r="A974" s="17"/>
      <c r="B974" s="16"/>
      <c r="C974" s="18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" customHeight="1">
      <c r="A975" s="17"/>
      <c r="B975" s="16"/>
      <c r="C975" s="18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" customHeight="1">
      <c r="A976" s="17"/>
      <c r="B976" s="16"/>
      <c r="C976" s="18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" customHeight="1">
      <c r="A977" s="17"/>
      <c r="B977" s="16"/>
      <c r="C977" s="18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" customHeight="1">
      <c r="A978" s="17"/>
      <c r="B978" s="16"/>
      <c r="C978" s="18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" customHeight="1">
      <c r="A979" s="17"/>
      <c r="B979" s="16"/>
      <c r="C979" s="18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" customHeight="1">
      <c r="A980" s="17"/>
      <c r="B980" s="16"/>
      <c r="C980" s="18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" customHeight="1">
      <c r="A981" s="17"/>
      <c r="B981" s="16"/>
      <c r="C981" s="18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" customHeight="1">
      <c r="A982" s="17"/>
      <c r="B982" s="16"/>
      <c r="C982" s="18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" customHeight="1">
      <c r="A983" s="17"/>
      <c r="B983" s="16"/>
      <c r="C983" s="18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" customHeight="1">
      <c r="A984" s="17"/>
      <c r="B984" s="16"/>
      <c r="C984" s="18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" customHeight="1">
      <c r="A985" s="17"/>
      <c r="B985" s="16"/>
      <c r="C985" s="18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" customHeight="1">
      <c r="A986" s="17"/>
      <c r="B986" s="16"/>
      <c r="C986" s="18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" customHeight="1">
      <c r="A987" s="17"/>
      <c r="B987" s="16"/>
      <c r="C987" s="18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" customHeight="1">
      <c r="A988" s="17"/>
      <c r="B988" s="16"/>
      <c r="C988" s="18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" customHeight="1">
      <c r="A989" s="17"/>
      <c r="B989" s="16"/>
      <c r="C989" s="18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" customHeight="1">
      <c r="A990" s="17"/>
      <c r="B990" s="16"/>
      <c r="C990" s="18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" customHeight="1">
      <c r="A991" s="17"/>
      <c r="B991" s="16"/>
      <c r="C991" s="18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" customHeight="1">
      <c r="A992" s="17"/>
      <c r="B992" s="16"/>
      <c r="C992" s="18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" customHeight="1">
      <c r="A993" s="17"/>
      <c r="B993" s="16"/>
      <c r="C993" s="18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" customHeight="1">
      <c r="A994" s="17"/>
      <c r="B994" s="16"/>
      <c r="C994" s="18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" customHeight="1">
      <c r="A995" s="17"/>
      <c r="B995" s="16"/>
      <c r="C995" s="18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" customHeight="1">
      <c r="A996" s="17"/>
      <c r="B996" s="16"/>
      <c r="C996" s="18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" customHeight="1">
      <c r="A997" s="17"/>
      <c r="B997" s="16"/>
      <c r="C997" s="18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" customHeight="1">
      <c r="A998" s="17"/>
      <c r="B998" s="16"/>
      <c r="C998" s="18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" customHeight="1">
      <c r="A999" s="17"/>
      <c r="B999" s="16"/>
      <c r="C999" s="18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6"/>
  <sheetViews>
    <sheetView workbookViewId="0"/>
  </sheetViews>
  <sheetFormatPr defaultColWidth="12.61328125" defaultRowHeight="15" customHeight="1"/>
  <cols>
    <col min="1" max="1" width="11.15234375" customWidth="1"/>
    <col min="2" max="2" width="54.4609375" customWidth="1"/>
    <col min="3" max="3" width="9" customWidth="1"/>
  </cols>
  <sheetData>
    <row r="1" spans="1:26" ht="15" customHeight="1">
      <c r="A1" s="19" t="s">
        <v>4</v>
      </c>
      <c r="B1" s="20" t="s">
        <v>23</v>
      </c>
      <c r="C1" s="21" t="s">
        <v>6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>
      <c r="A2" s="23">
        <v>1</v>
      </c>
      <c r="B2" s="24" t="s">
        <v>24</v>
      </c>
      <c r="C2" s="25">
        <v>3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" customHeight="1">
      <c r="A3" s="27"/>
      <c r="B3" s="24" t="s">
        <v>25</v>
      </c>
      <c r="C3" s="25">
        <v>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" customHeight="1">
      <c r="A4" s="27"/>
      <c r="B4" s="24" t="s">
        <v>26</v>
      </c>
      <c r="C4" s="25">
        <v>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" customHeight="1">
      <c r="A5" s="27"/>
      <c r="B5" s="27" t="s">
        <v>27</v>
      </c>
      <c r="C5" s="28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" customHeight="1">
      <c r="A6" s="27"/>
      <c r="B6" s="27" t="s">
        <v>28</v>
      </c>
      <c r="C6" s="28">
        <v>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>
      <c r="A7" s="23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>
      <c r="A8" s="27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>
      <c r="A9" s="27">
        <v>2</v>
      </c>
      <c r="B9" s="24" t="s">
        <v>24</v>
      </c>
      <c r="C9" s="25">
        <v>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>
      <c r="A10" s="27"/>
      <c r="B10" s="27" t="s">
        <v>29</v>
      </c>
      <c r="C10" s="28">
        <v>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" customHeight="1">
      <c r="A11" s="27"/>
      <c r="B11" s="27" t="s">
        <v>30</v>
      </c>
      <c r="C11" s="28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>
      <c r="A12" s="23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" customHeight="1">
      <c r="A13" s="27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" customHeight="1">
      <c r="A14" s="27">
        <v>3</v>
      </c>
      <c r="B14" s="27" t="s">
        <v>24</v>
      </c>
      <c r="C14" s="28">
        <v>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" customHeight="1">
      <c r="A15" s="27"/>
      <c r="B15" s="27" t="s">
        <v>31</v>
      </c>
      <c r="C15" s="28">
        <v>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>
      <c r="A16" s="23"/>
      <c r="B16" s="24" t="s">
        <v>28</v>
      </c>
      <c r="C16" s="25"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>
      <c r="A17" s="27"/>
      <c r="B17" s="24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" customHeight="1">
      <c r="A18" s="27"/>
      <c r="B18" s="24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>
      <c r="A19" s="27">
        <v>4</v>
      </c>
      <c r="B19" s="24" t="s">
        <v>32</v>
      </c>
      <c r="C19" s="25">
        <v>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>
      <c r="A20" s="27"/>
      <c r="B20" s="27" t="s">
        <v>33</v>
      </c>
      <c r="C20" s="28">
        <v>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>
      <c r="A21" s="27"/>
      <c r="B21" s="27" t="s">
        <v>34</v>
      </c>
      <c r="C21" s="28">
        <v>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" customHeight="1">
      <c r="A22" s="23"/>
      <c r="B22" s="24" t="s">
        <v>35</v>
      </c>
      <c r="C22" s="25">
        <v>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>
      <c r="A23" s="27"/>
      <c r="B23" s="24" t="s">
        <v>30</v>
      </c>
      <c r="C23" s="25"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" customHeight="1">
      <c r="A24" s="27"/>
      <c r="B24" s="24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>
      <c r="A25" s="27"/>
      <c r="B25" s="27"/>
      <c r="C25" s="2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>
      <c r="A26" s="27">
        <v>5</v>
      </c>
      <c r="B26" s="27" t="s">
        <v>32</v>
      </c>
      <c r="C26" s="28">
        <v>5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>
      <c r="A27" s="23"/>
      <c r="B27" s="24" t="s">
        <v>36</v>
      </c>
      <c r="C27" s="25">
        <v>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" customHeight="1">
      <c r="A28" s="27"/>
      <c r="B28" s="24" t="s">
        <v>37</v>
      </c>
      <c r="C28" s="25">
        <v>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>
      <c r="A29" s="27"/>
      <c r="B29" s="24" t="s">
        <v>35</v>
      </c>
      <c r="C29" s="25">
        <v>2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" customHeight="1">
      <c r="A30" s="27"/>
      <c r="B30" s="27" t="s">
        <v>38</v>
      </c>
      <c r="C30" s="28">
        <v>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>
      <c r="A31" s="27"/>
      <c r="B31" s="27" t="s">
        <v>30</v>
      </c>
      <c r="C31" s="28"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" customHeight="1">
      <c r="A32" s="23"/>
      <c r="B32" s="24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>
      <c r="A33" s="27"/>
      <c r="B33" s="24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" customHeight="1">
      <c r="A34" s="27">
        <v>6</v>
      </c>
      <c r="B34" s="27" t="s">
        <v>32</v>
      </c>
      <c r="C34" s="28">
        <v>5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" customHeight="1">
      <c r="A35" s="27"/>
      <c r="B35" s="27" t="s">
        <v>39</v>
      </c>
      <c r="C35" s="28">
        <v>3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" customHeight="1">
      <c r="A36" s="23"/>
      <c r="B36" s="24" t="s">
        <v>35</v>
      </c>
      <c r="C36" s="25">
        <v>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>
      <c r="A37" s="27"/>
      <c r="B37" s="24" t="s">
        <v>30</v>
      </c>
      <c r="C37" s="25"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" customHeight="1">
      <c r="A38" s="27"/>
      <c r="B38" s="22"/>
      <c r="C38" s="2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" customHeight="1">
      <c r="A39" s="27"/>
      <c r="B39" s="22"/>
      <c r="C39" s="2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" customHeight="1">
      <c r="A40" s="27">
        <v>7</v>
      </c>
      <c r="B40" s="22" t="s">
        <v>32</v>
      </c>
      <c r="C40" s="28">
        <v>7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" customHeight="1">
      <c r="A41" s="27"/>
      <c r="B41" s="22" t="s">
        <v>35</v>
      </c>
      <c r="C41" s="28">
        <v>3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" customHeight="1">
      <c r="A42" s="27"/>
      <c r="B42" s="22" t="s">
        <v>40</v>
      </c>
      <c r="C42" s="28">
        <v>2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" customHeight="1">
      <c r="A43" s="27"/>
      <c r="B43" s="22" t="s">
        <v>38</v>
      </c>
      <c r="C43" s="28">
        <v>1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" customHeight="1">
      <c r="A44" s="27"/>
      <c r="B44" s="22" t="s">
        <v>28</v>
      </c>
      <c r="C44" s="28"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" customHeight="1">
      <c r="A45" s="27"/>
      <c r="B45" s="22"/>
      <c r="C45" s="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" customHeight="1">
      <c r="A46" s="27"/>
      <c r="B46" s="22"/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" customHeight="1">
      <c r="A47" s="27">
        <v>8</v>
      </c>
      <c r="B47" s="22" t="s">
        <v>32</v>
      </c>
      <c r="C47" s="28">
        <v>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" customHeight="1">
      <c r="A48" s="27"/>
      <c r="B48" s="22" t="s">
        <v>41</v>
      </c>
      <c r="C48" s="28">
        <v>4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" customHeight="1">
      <c r="A49" s="27"/>
      <c r="B49" s="22" t="s">
        <v>28</v>
      </c>
      <c r="C49" s="28"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" customHeight="1">
      <c r="A50" s="27"/>
      <c r="B50" s="22"/>
      <c r="C50" s="2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" customHeight="1">
      <c r="A51" s="27"/>
      <c r="B51" s="22"/>
      <c r="C51" s="28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" customHeight="1">
      <c r="A52" s="27"/>
      <c r="B52" s="22"/>
      <c r="C52" s="28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" customHeight="1">
      <c r="A53" s="27"/>
      <c r="B53" s="22"/>
      <c r="C53" s="2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" customHeight="1">
      <c r="A54" s="27"/>
      <c r="B54" s="22"/>
      <c r="C54" s="28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" customHeight="1">
      <c r="A55" s="27"/>
      <c r="B55" s="22"/>
      <c r="C55" s="28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" customHeight="1">
      <c r="A56" s="27"/>
      <c r="B56" s="22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" customHeight="1">
      <c r="A57" s="27"/>
      <c r="B57" s="22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" customHeight="1">
      <c r="A58" s="27"/>
      <c r="B58" s="22"/>
      <c r="C58" s="28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" customHeight="1">
      <c r="A59" s="27"/>
      <c r="B59" s="22"/>
      <c r="C59" s="28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" customHeight="1">
      <c r="A60" s="27"/>
      <c r="B60" s="22"/>
      <c r="C60" s="28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" customHeight="1">
      <c r="A61" s="27"/>
      <c r="B61" s="22"/>
      <c r="C61" s="28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" customHeight="1">
      <c r="A62" s="27"/>
      <c r="B62" s="22"/>
      <c r="C62" s="28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" customHeight="1">
      <c r="A63" s="27"/>
      <c r="B63" s="22"/>
      <c r="C63" s="28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" customHeight="1">
      <c r="A64" s="27"/>
      <c r="B64" s="22"/>
      <c r="C64" s="28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" customHeight="1">
      <c r="A65" s="27"/>
      <c r="B65" s="22"/>
      <c r="C65" s="28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" customHeight="1">
      <c r="A66" s="27"/>
      <c r="B66" s="22"/>
      <c r="C66" s="2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" customHeight="1">
      <c r="A67" s="27"/>
      <c r="B67" s="22"/>
      <c r="C67" s="28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" customHeight="1">
      <c r="A68" s="27"/>
      <c r="B68" s="22"/>
      <c r="C68" s="28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" customHeight="1">
      <c r="A69" s="27"/>
      <c r="B69" s="22"/>
      <c r="C69" s="28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" customHeight="1">
      <c r="A70" s="27"/>
      <c r="B70" s="22"/>
      <c r="C70" s="28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" customHeight="1">
      <c r="A71" s="27"/>
      <c r="B71" s="22"/>
      <c r="C71" s="28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" customHeight="1">
      <c r="A72" s="27"/>
      <c r="B72" s="22"/>
      <c r="C72" s="2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" customHeight="1">
      <c r="A73" s="27"/>
      <c r="B73" s="22"/>
      <c r="C73" s="28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" customHeight="1">
      <c r="A74" s="27"/>
      <c r="B74" s="22"/>
      <c r="C74" s="28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" customHeight="1">
      <c r="A75" s="27"/>
      <c r="B75" s="22"/>
      <c r="C75" s="28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" customHeight="1">
      <c r="A76" s="27"/>
      <c r="B76" s="22"/>
      <c r="C76" s="28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" customHeight="1">
      <c r="A77" s="27"/>
      <c r="B77" s="22"/>
      <c r="C77" s="28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" customHeight="1">
      <c r="A78" s="27"/>
      <c r="B78" s="22"/>
      <c r="C78" s="28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" customHeight="1">
      <c r="A79" s="27"/>
      <c r="B79" s="22"/>
      <c r="C79" s="28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" customHeight="1">
      <c r="A80" s="27"/>
      <c r="B80" s="22"/>
      <c r="C80" s="28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" customHeight="1">
      <c r="A81" s="27"/>
      <c r="B81" s="22"/>
      <c r="C81" s="28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" customHeight="1">
      <c r="A82" s="27"/>
      <c r="B82" s="22"/>
      <c r="C82" s="28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" customHeight="1">
      <c r="A83" s="27"/>
      <c r="B83" s="22"/>
      <c r="C83" s="28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>
      <c r="A84" s="27"/>
      <c r="B84" s="22"/>
      <c r="C84" s="28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" customHeight="1">
      <c r="A85" s="27"/>
      <c r="B85" s="22"/>
      <c r="C85" s="28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" customHeight="1">
      <c r="A86" s="27"/>
      <c r="B86" s="22"/>
      <c r="C86" s="28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" customHeight="1">
      <c r="A87" s="27"/>
      <c r="B87" s="22"/>
      <c r="C87" s="28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" customHeight="1">
      <c r="A88" s="27"/>
      <c r="B88" s="22"/>
      <c r="C88" s="28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" customHeight="1">
      <c r="A89" s="27"/>
      <c r="B89" s="22"/>
      <c r="C89" s="28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" customHeight="1">
      <c r="A90" s="27"/>
      <c r="B90" s="22"/>
      <c r="C90" s="28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" customHeight="1">
      <c r="A91" s="27"/>
      <c r="B91" s="22"/>
      <c r="C91" s="28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" customHeight="1">
      <c r="A92" s="27"/>
      <c r="B92" s="22"/>
      <c r="C92" s="28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" customHeight="1">
      <c r="A93" s="27"/>
      <c r="B93" s="22"/>
      <c r="C93" s="28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" customHeight="1">
      <c r="A94" s="27"/>
      <c r="B94" s="22"/>
      <c r="C94" s="2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" customHeight="1">
      <c r="A95" s="27"/>
      <c r="B95" s="22"/>
      <c r="C95" s="28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>
      <c r="A96" s="27"/>
      <c r="B96" s="22"/>
      <c r="C96" s="28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" customHeight="1">
      <c r="A97" s="27"/>
      <c r="B97" s="22"/>
      <c r="C97" s="28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" customHeight="1">
      <c r="A98" s="27"/>
      <c r="B98" s="22"/>
      <c r="C98" s="28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" customHeight="1">
      <c r="A99" s="27"/>
      <c r="B99" s="22"/>
      <c r="C99" s="28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" customHeight="1">
      <c r="A100" s="27"/>
      <c r="B100" s="22"/>
      <c r="C100" s="28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" customHeight="1">
      <c r="A101" s="27"/>
      <c r="B101" s="22"/>
      <c r="C101" s="28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" customHeight="1">
      <c r="A102" s="27"/>
      <c r="B102" s="22"/>
      <c r="C102" s="28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" customHeight="1">
      <c r="A103" s="27"/>
      <c r="B103" s="22"/>
      <c r="C103" s="28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" customHeight="1">
      <c r="A104" s="27"/>
      <c r="B104" s="22"/>
      <c r="C104" s="28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" customHeight="1">
      <c r="A105" s="27"/>
      <c r="B105" s="22"/>
      <c r="C105" s="28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" customHeight="1">
      <c r="A106" s="27"/>
      <c r="B106" s="22"/>
      <c r="C106" s="28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" customHeight="1">
      <c r="A107" s="27"/>
      <c r="B107" s="22"/>
      <c r="C107" s="28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" customHeight="1">
      <c r="A108" s="27"/>
      <c r="B108" s="22"/>
      <c r="C108" s="28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" customHeight="1">
      <c r="A109" s="27"/>
      <c r="B109" s="22"/>
      <c r="C109" s="28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" customHeight="1">
      <c r="A110" s="27"/>
      <c r="B110" s="22"/>
      <c r="C110" s="28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" customHeight="1">
      <c r="A111" s="27"/>
      <c r="B111" s="22"/>
      <c r="C111" s="28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" customHeight="1">
      <c r="A112" s="27"/>
      <c r="B112" s="22"/>
      <c r="C112" s="28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" customHeight="1">
      <c r="A113" s="27"/>
      <c r="B113" s="22"/>
      <c r="C113" s="28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" customHeight="1">
      <c r="A114" s="27"/>
      <c r="B114" s="22"/>
      <c r="C114" s="28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" customHeight="1">
      <c r="A115" s="27"/>
      <c r="B115" s="22"/>
      <c r="C115" s="28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" customHeight="1">
      <c r="A116" s="27"/>
      <c r="B116" s="22"/>
      <c r="C116" s="28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" customHeight="1">
      <c r="A117" s="27"/>
      <c r="B117" s="22"/>
      <c r="C117" s="28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" customHeight="1">
      <c r="A118" s="27"/>
      <c r="B118" s="22"/>
      <c r="C118" s="28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" customHeight="1">
      <c r="A119" s="27"/>
      <c r="B119" s="22"/>
      <c r="C119" s="28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" customHeight="1">
      <c r="A120" s="27"/>
      <c r="B120" s="22"/>
      <c r="C120" s="28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" customHeight="1">
      <c r="A121" s="27"/>
      <c r="B121" s="22"/>
      <c r="C121" s="28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" customHeight="1">
      <c r="A122" s="27"/>
      <c r="B122" s="22"/>
      <c r="C122" s="28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" customHeight="1">
      <c r="A123" s="27"/>
      <c r="B123" s="22"/>
      <c r="C123" s="28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" customHeight="1">
      <c r="A124" s="27"/>
      <c r="B124" s="22"/>
      <c r="C124" s="28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" customHeight="1">
      <c r="A125" s="27"/>
      <c r="B125" s="22"/>
      <c r="C125" s="28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" customHeight="1">
      <c r="A126" s="27"/>
      <c r="B126" s="22"/>
      <c r="C126" s="28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" customHeight="1">
      <c r="A127" s="27"/>
      <c r="B127" s="22"/>
      <c r="C127" s="28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>
      <c r="A128" s="27"/>
      <c r="B128" s="22"/>
      <c r="C128" s="28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" customHeight="1">
      <c r="A129" s="27"/>
      <c r="B129" s="22"/>
      <c r="C129" s="2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" customHeight="1">
      <c r="A130" s="27"/>
      <c r="B130" s="22"/>
      <c r="C130" s="28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" customHeight="1">
      <c r="A131" s="27"/>
      <c r="B131" s="22"/>
      <c r="C131" s="28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" customHeight="1">
      <c r="A132" s="27"/>
      <c r="B132" s="22"/>
      <c r="C132" s="28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" customHeight="1">
      <c r="A133" s="27"/>
      <c r="B133" s="22"/>
      <c r="C133" s="28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" customHeight="1">
      <c r="A134" s="27"/>
      <c r="B134" s="22"/>
      <c r="C134" s="28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" customHeight="1">
      <c r="A135" s="27"/>
      <c r="B135" s="22"/>
      <c r="C135" s="28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" customHeight="1">
      <c r="A136" s="27"/>
      <c r="B136" s="22"/>
      <c r="C136" s="28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" customHeight="1">
      <c r="A137" s="27"/>
      <c r="B137" s="22"/>
      <c r="C137" s="28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" customHeight="1">
      <c r="A138" s="27"/>
      <c r="B138" s="22"/>
      <c r="C138" s="28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" customHeight="1">
      <c r="A139" s="27"/>
      <c r="B139" s="22"/>
      <c r="C139" s="28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" customHeight="1">
      <c r="A140" s="27"/>
      <c r="B140" s="22"/>
      <c r="C140" s="28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" customHeight="1">
      <c r="A141" s="27"/>
      <c r="B141" s="22"/>
      <c r="C141" s="28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" customHeight="1">
      <c r="A142" s="27"/>
      <c r="B142" s="22"/>
      <c r="C142" s="28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" customHeight="1">
      <c r="A143" s="27"/>
      <c r="B143" s="22"/>
      <c r="C143" s="28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" customHeight="1">
      <c r="A144" s="27"/>
      <c r="B144" s="22"/>
      <c r="C144" s="28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" customHeight="1">
      <c r="A145" s="27"/>
      <c r="B145" s="22"/>
      <c r="C145" s="28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" customHeight="1">
      <c r="A146" s="27"/>
      <c r="B146" s="22"/>
      <c r="C146" s="28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" customHeight="1">
      <c r="A147" s="27"/>
      <c r="B147" s="22"/>
      <c r="C147" s="28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" customHeight="1">
      <c r="A148" s="27"/>
      <c r="B148" s="22"/>
      <c r="C148" s="28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" customHeight="1">
      <c r="A149" s="27"/>
      <c r="B149" s="22"/>
      <c r="C149" s="2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" customHeight="1">
      <c r="A150" s="27"/>
      <c r="B150" s="22"/>
      <c r="C150" s="28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" customHeight="1">
      <c r="A151" s="27"/>
      <c r="B151" s="22"/>
      <c r="C151" s="28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" customHeight="1">
      <c r="A152" s="27"/>
      <c r="B152" s="22"/>
      <c r="C152" s="28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" customHeight="1">
      <c r="A153" s="27"/>
      <c r="B153" s="22"/>
      <c r="C153" s="28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" customHeight="1">
      <c r="A154" s="27"/>
      <c r="B154" s="22"/>
      <c r="C154" s="28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" customHeight="1">
      <c r="A155" s="27"/>
      <c r="B155" s="22"/>
      <c r="C155" s="28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" customHeight="1">
      <c r="A156" s="27"/>
      <c r="B156" s="22"/>
      <c r="C156" s="28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" customHeight="1">
      <c r="A157" s="27"/>
      <c r="B157" s="22"/>
      <c r="C157" s="28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" customHeight="1">
      <c r="A158" s="27"/>
      <c r="B158" s="22"/>
      <c r="C158" s="28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" customHeight="1">
      <c r="A159" s="27"/>
      <c r="B159" s="22"/>
      <c r="C159" s="28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" customHeight="1">
      <c r="A160" s="27"/>
      <c r="B160" s="22"/>
      <c r="C160" s="28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" customHeight="1">
      <c r="A161" s="27"/>
      <c r="B161" s="22"/>
      <c r="C161" s="28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" customHeight="1">
      <c r="A162" s="27"/>
      <c r="B162" s="22"/>
      <c r="C162" s="28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" customHeight="1">
      <c r="A163" s="27"/>
      <c r="B163" s="22"/>
      <c r="C163" s="28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" customHeight="1">
      <c r="A164" s="27"/>
      <c r="B164" s="22"/>
      <c r="C164" s="28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" customHeight="1">
      <c r="A165" s="27"/>
      <c r="B165" s="22"/>
      <c r="C165" s="28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" customHeight="1">
      <c r="A166" s="27"/>
      <c r="B166" s="22"/>
      <c r="C166" s="28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" customHeight="1">
      <c r="A167" s="27"/>
      <c r="B167" s="22"/>
      <c r="C167" s="28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" customHeight="1">
      <c r="A168" s="27"/>
      <c r="B168" s="22"/>
      <c r="C168" s="28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" customHeight="1">
      <c r="A169" s="27"/>
      <c r="B169" s="22"/>
      <c r="C169" s="28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" customHeight="1">
      <c r="A170" s="27"/>
      <c r="B170" s="22"/>
      <c r="C170" s="28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" customHeight="1">
      <c r="A171" s="27"/>
      <c r="B171" s="22"/>
      <c r="C171" s="28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" customHeight="1">
      <c r="A172" s="27"/>
      <c r="B172" s="22"/>
      <c r="C172" s="28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" customHeight="1">
      <c r="A173" s="27"/>
      <c r="B173" s="22"/>
      <c r="C173" s="28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" customHeight="1">
      <c r="A174" s="27"/>
      <c r="B174" s="22"/>
      <c r="C174" s="28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" customHeight="1">
      <c r="A175" s="27"/>
      <c r="B175" s="22"/>
      <c r="C175" s="28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" customHeight="1">
      <c r="A176" s="27"/>
      <c r="B176" s="22"/>
      <c r="C176" s="28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" customHeight="1">
      <c r="A177" s="27"/>
      <c r="B177" s="22"/>
      <c r="C177" s="28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" customHeight="1">
      <c r="A178" s="27"/>
      <c r="B178" s="22"/>
      <c r="C178" s="28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" customHeight="1">
      <c r="A179" s="27"/>
      <c r="B179" s="22"/>
      <c r="C179" s="28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" customHeight="1">
      <c r="A180" s="27"/>
      <c r="B180" s="22"/>
      <c r="C180" s="28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" customHeight="1">
      <c r="A181" s="27"/>
      <c r="B181" s="22"/>
      <c r="C181" s="28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" customHeight="1">
      <c r="A182" s="27"/>
      <c r="B182" s="22"/>
      <c r="C182" s="28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" customHeight="1">
      <c r="A183" s="27"/>
      <c r="B183" s="22"/>
      <c r="C183" s="28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" customHeight="1">
      <c r="A184" s="27"/>
      <c r="B184" s="22"/>
      <c r="C184" s="28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" customHeight="1">
      <c r="A185" s="27"/>
      <c r="B185" s="22"/>
      <c r="C185" s="28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" customHeight="1">
      <c r="A186" s="27"/>
      <c r="B186" s="22"/>
      <c r="C186" s="28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" customHeight="1">
      <c r="A187" s="27"/>
      <c r="B187" s="22"/>
      <c r="C187" s="28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" customHeight="1">
      <c r="A188" s="27"/>
      <c r="B188" s="22"/>
      <c r="C188" s="28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" customHeight="1">
      <c r="A189" s="27"/>
      <c r="B189" s="22"/>
      <c r="C189" s="28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" customHeight="1">
      <c r="A190" s="27"/>
      <c r="B190" s="22"/>
      <c r="C190" s="28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" customHeight="1">
      <c r="A191" s="27"/>
      <c r="B191" s="22"/>
      <c r="C191" s="28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" customHeight="1">
      <c r="A192" s="27"/>
      <c r="B192" s="22"/>
      <c r="C192" s="28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" customHeight="1">
      <c r="A193" s="27"/>
      <c r="B193" s="22"/>
      <c r="C193" s="28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" customHeight="1">
      <c r="A194" s="27"/>
      <c r="B194" s="22"/>
      <c r="C194" s="28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" customHeight="1">
      <c r="A195" s="27"/>
      <c r="B195" s="22"/>
      <c r="C195" s="28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" customHeight="1">
      <c r="A196" s="27"/>
      <c r="B196" s="22"/>
      <c r="C196" s="28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" customHeight="1">
      <c r="A197" s="27"/>
      <c r="B197" s="22"/>
      <c r="C197" s="28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" customHeight="1">
      <c r="A198" s="27"/>
      <c r="B198" s="22"/>
      <c r="C198" s="28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" customHeight="1">
      <c r="A199" s="27"/>
      <c r="B199" s="22"/>
      <c r="C199" s="28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" customHeight="1">
      <c r="A200" s="27"/>
      <c r="B200" s="22"/>
      <c r="C200" s="28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" customHeight="1">
      <c r="A201" s="27"/>
      <c r="B201" s="22"/>
      <c r="C201" s="28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" customHeight="1">
      <c r="A202" s="27"/>
      <c r="B202" s="22"/>
      <c r="C202" s="28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" customHeight="1">
      <c r="A203" s="27"/>
      <c r="B203" s="22"/>
      <c r="C203" s="28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" customHeight="1">
      <c r="A204" s="27"/>
      <c r="B204" s="22"/>
      <c r="C204" s="28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" customHeight="1">
      <c r="A205" s="27"/>
      <c r="B205" s="22"/>
      <c r="C205" s="28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" customHeight="1">
      <c r="A206" s="27"/>
      <c r="B206" s="22"/>
      <c r="C206" s="28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" customHeight="1">
      <c r="A207" s="27"/>
      <c r="B207" s="22"/>
      <c r="C207" s="28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" customHeight="1">
      <c r="A208" s="27"/>
      <c r="B208" s="22"/>
      <c r="C208" s="28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" customHeight="1">
      <c r="A209" s="27"/>
      <c r="B209" s="22"/>
      <c r="C209" s="28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" customHeight="1">
      <c r="A210" s="27"/>
      <c r="B210" s="22"/>
      <c r="C210" s="28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" customHeight="1">
      <c r="A211" s="27"/>
      <c r="B211" s="22"/>
      <c r="C211" s="28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" customHeight="1">
      <c r="A212" s="27"/>
      <c r="B212" s="22"/>
      <c r="C212" s="28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" customHeight="1">
      <c r="A213" s="27"/>
      <c r="B213" s="22"/>
      <c r="C213" s="28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" customHeight="1">
      <c r="A214" s="27"/>
      <c r="B214" s="22"/>
      <c r="C214" s="28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" customHeight="1">
      <c r="A215" s="27"/>
      <c r="B215" s="22"/>
      <c r="C215" s="28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" customHeight="1">
      <c r="A216" s="27"/>
      <c r="B216" s="22"/>
      <c r="C216" s="28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" customHeight="1">
      <c r="A217" s="27"/>
      <c r="B217" s="22"/>
      <c r="C217" s="28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" customHeight="1">
      <c r="A218" s="27"/>
      <c r="B218" s="22"/>
      <c r="C218" s="28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" customHeight="1">
      <c r="A219" s="27"/>
      <c r="B219" s="22"/>
      <c r="C219" s="28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" customHeight="1">
      <c r="A220" s="27"/>
      <c r="B220" s="22"/>
      <c r="C220" s="28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" customHeight="1">
      <c r="A221" s="27"/>
      <c r="B221" s="22"/>
      <c r="C221" s="28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" customHeight="1">
      <c r="A222" s="27"/>
      <c r="B222" s="22"/>
      <c r="C222" s="28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" customHeight="1">
      <c r="A223" s="27"/>
      <c r="B223" s="22"/>
      <c r="C223" s="28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" customHeight="1">
      <c r="A224" s="27"/>
      <c r="B224" s="22"/>
      <c r="C224" s="28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" customHeight="1">
      <c r="A225" s="27"/>
      <c r="B225" s="22"/>
      <c r="C225" s="28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" customHeight="1">
      <c r="A226" s="27"/>
      <c r="B226" s="22"/>
      <c r="C226" s="28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" customHeight="1">
      <c r="A227" s="27"/>
      <c r="B227" s="22"/>
      <c r="C227" s="28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" customHeight="1">
      <c r="A228" s="27"/>
      <c r="B228" s="22"/>
      <c r="C228" s="28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" customHeight="1">
      <c r="A229" s="27"/>
      <c r="B229" s="22"/>
      <c r="C229" s="28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" customHeight="1">
      <c r="A230" s="27"/>
      <c r="B230" s="22"/>
      <c r="C230" s="28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" customHeight="1">
      <c r="A231" s="27"/>
      <c r="B231" s="22"/>
      <c r="C231" s="28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" customHeight="1">
      <c r="A232" s="27"/>
      <c r="B232" s="22"/>
      <c r="C232" s="28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" customHeight="1">
      <c r="A233" s="27"/>
      <c r="B233" s="22"/>
      <c r="C233" s="28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" customHeight="1">
      <c r="A234" s="27"/>
      <c r="B234" s="22"/>
      <c r="C234" s="28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" customHeight="1">
      <c r="A235" s="27"/>
      <c r="B235" s="22"/>
      <c r="C235" s="28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" customHeight="1">
      <c r="A236" s="27"/>
      <c r="B236" s="22"/>
      <c r="C236" s="28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" customHeight="1">
      <c r="A237" s="27"/>
      <c r="B237" s="22"/>
      <c r="C237" s="28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" customHeight="1">
      <c r="A238" s="27"/>
      <c r="B238" s="22"/>
      <c r="C238" s="28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" customHeight="1">
      <c r="A239" s="27"/>
      <c r="B239" s="22"/>
      <c r="C239" s="28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" customHeight="1">
      <c r="A240" s="27"/>
      <c r="B240" s="22"/>
      <c r="C240" s="28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" customHeight="1">
      <c r="A241" s="27"/>
      <c r="B241" s="22"/>
      <c r="C241" s="28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" customHeight="1">
      <c r="A242" s="27"/>
      <c r="B242" s="22"/>
      <c r="C242" s="28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" customHeight="1">
      <c r="A243" s="27"/>
      <c r="B243" s="22"/>
      <c r="C243" s="28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" customHeight="1">
      <c r="A244" s="27"/>
      <c r="B244" s="22"/>
      <c r="C244" s="28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" customHeight="1">
      <c r="A245" s="27"/>
      <c r="B245" s="22"/>
      <c r="C245" s="28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" customHeight="1">
      <c r="A246" s="27"/>
      <c r="B246" s="22"/>
      <c r="C246" s="28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" customHeight="1">
      <c r="A247" s="27"/>
      <c r="B247" s="22"/>
      <c r="C247" s="28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" customHeight="1">
      <c r="A248" s="27"/>
      <c r="B248" s="22"/>
      <c r="C248" s="28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" customHeight="1">
      <c r="A249" s="27"/>
      <c r="B249" s="22"/>
      <c r="C249" s="28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" customHeight="1">
      <c r="A250" s="27"/>
      <c r="B250" s="22"/>
      <c r="C250" s="28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" customHeight="1">
      <c r="A251" s="27"/>
      <c r="B251" s="22"/>
      <c r="C251" s="28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" customHeight="1">
      <c r="A252" s="27"/>
      <c r="B252" s="22"/>
      <c r="C252" s="28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" customHeight="1">
      <c r="A253" s="27"/>
      <c r="B253" s="22"/>
      <c r="C253" s="28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" customHeight="1">
      <c r="A254" s="27"/>
      <c r="B254" s="22"/>
      <c r="C254" s="28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" customHeight="1">
      <c r="A255" s="27"/>
      <c r="B255" s="22"/>
      <c r="C255" s="28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" customHeight="1">
      <c r="A256" s="27"/>
      <c r="B256" s="22"/>
      <c r="C256" s="28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" customHeight="1">
      <c r="A257" s="27"/>
      <c r="B257" s="22"/>
      <c r="C257" s="28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" customHeight="1">
      <c r="A258" s="27"/>
      <c r="B258" s="22"/>
      <c r="C258" s="28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" customHeight="1">
      <c r="A259" s="27"/>
      <c r="B259" s="22"/>
      <c r="C259" s="28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" customHeight="1">
      <c r="A260" s="27"/>
      <c r="B260" s="22"/>
      <c r="C260" s="28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" customHeight="1">
      <c r="A261" s="27"/>
      <c r="B261" s="22"/>
      <c r="C261" s="28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" customHeight="1">
      <c r="A262" s="27"/>
      <c r="B262" s="22"/>
      <c r="C262" s="28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" customHeight="1">
      <c r="A263" s="27"/>
      <c r="B263" s="22"/>
      <c r="C263" s="28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" customHeight="1">
      <c r="A264" s="27"/>
      <c r="B264" s="22"/>
      <c r="C264" s="28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" customHeight="1">
      <c r="A265" s="27"/>
      <c r="B265" s="22"/>
      <c r="C265" s="28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" customHeight="1">
      <c r="A266" s="27"/>
      <c r="B266" s="22"/>
      <c r="C266" s="28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" customHeight="1">
      <c r="A267" s="27"/>
      <c r="B267" s="22"/>
      <c r="C267" s="28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" customHeight="1">
      <c r="A268" s="27"/>
      <c r="B268" s="22"/>
      <c r="C268" s="28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" customHeight="1">
      <c r="A269" s="27"/>
      <c r="B269" s="22"/>
      <c r="C269" s="28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" customHeight="1">
      <c r="A270" s="27"/>
      <c r="B270" s="22"/>
      <c r="C270" s="28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" customHeight="1">
      <c r="A271" s="27"/>
      <c r="B271" s="22"/>
      <c r="C271" s="28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" customHeight="1">
      <c r="A272" s="27"/>
      <c r="B272" s="22"/>
      <c r="C272" s="28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" customHeight="1">
      <c r="A273" s="27"/>
      <c r="B273" s="22"/>
      <c r="C273" s="28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" customHeight="1">
      <c r="A274" s="27"/>
      <c r="B274" s="22"/>
      <c r="C274" s="28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" customHeight="1">
      <c r="A275" s="27"/>
      <c r="B275" s="22"/>
      <c r="C275" s="28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" customHeight="1">
      <c r="A276" s="27"/>
      <c r="B276" s="22"/>
      <c r="C276" s="28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" customHeight="1">
      <c r="A277" s="27"/>
      <c r="B277" s="22"/>
      <c r="C277" s="28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" customHeight="1">
      <c r="A278" s="27"/>
      <c r="B278" s="22"/>
      <c r="C278" s="28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" customHeight="1">
      <c r="A279" s="27"/>
      <c r="B279" s="22"/>
      <c r="C279" s="28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" customHeight="1">
      <c r="A280" s="27"/>
      <c r="B280" s="22"/>
      <c r="C280" s="28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" customHeight="1">
      <c r="A281" s="27"/>
      <c r="B281" s="22"/>
      <c r="C281" s="28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" customHeight="1">
      <c r="A282" s="27"/>
      <c r="B282" s="22"/>
      <c r="C282" s="28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" customHeight="1">
      <c r="A283" s="27"/>
      <c r="B283" s="22"/>
      <c r="C283" s="28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" customHeight="1">
      <c r="A284" s="27"/>
      <c r="B284" s="22"/>
      <c r="C284" s="28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" customHeight="1">
      <c r="A285" s="27"/>
      <c r="B285" s="22"/>
      <c r="C285" s="28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" customHeight="1">
      <c r="A286" s="27"/>
      <c r="B286" s="22"/>
      <c r="C286" s="28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" customHeight="1">
      <c r="A287" s="27"/>
      <c r="B287" s="22"/>
      <c r="C287" s="28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" customHeight="1">
      <c r="A288" s="27"/>
      <c r="B288" s="22"/>
      <c r="C288" s="28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" customHeight="1">
      <c r="A289" s="27"/>
      <c r="B289" s="22"/>
      <c r="C289" s="28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" customHeight="1">
      <c r="A290" s="27"/>
      <c r="B290" s="22"/>
      <c r="C290" s="28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" customHeight="1">
      <c r="A291" s="27"/>
      <c r="B291" s="22"/>
      <c r="C291" s="28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" customHeight="1">
      <c r="A292" s="27"/>
      <c r="B292" s="22"/>
      <c r="C292" s="28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" customHeight="1">
      <c r="A293" s="27"/>
      <c r="B293" s="22"/>
      <c r="C293" s="28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" customHeight="1">
      <c r="A294" s="27"/>
      <c r="B294" s="22"/>
      <c r="C294" s="28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" customHeight="1">
      <c r="A295" s="27"/>
      <c r="B295" s="22"/>
      <c r="C295" s="28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" customHeight="1">
      <c r="A296" s="27"/>
      <c r="B296" s="22"/>
      <c r="C296" s="28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" customHeight="1">
      <c r="A297" s="27"/>
      <c r="B297" s="22"/>
      <c r="C297" s="28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" customHeight="1">
      <c r="A298" s="27"/>
      <c r="B298" s="22"/>
      <c r="C298" s="28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" customHeight="1">
      <c r="A299" s="27"/>
      <c r="B299" s="22"/>
      <c r="C299" s="28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" customHeight="1">
      <c r="A300" s="27"/>
      <c r="B300" s="22"/>
      <c r="C300" s="28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" customHeight="1">
      <c r="A301" s="27"/>
      <c r="B301" s="22"/>
      <c r="C301" s="28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" customHeight="1">
      <c r="A302" s="27"/>
      <c r="B302" s="22"/>
      <c r="C302" s="28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" customHeight="1">
      <c r="A303" s="27"/>
      <c r="B303" s="22"/>
      <c r="C303" s="28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" customHeight="1">
      <c r="A304" s="27"/>
      <c r="B304" s="22"/>
      <c r="C304" s="28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" customHeight="1">
      <c r="A305" s="27"/>
      <c r="B305" s="22"/>
      <c r="C305" s="28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" customHeight="1">
      <c r="A306" s="27"/>
      <c r="B306" s="22"/>
      <c r="C306" s="28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" customHeight="1">
      <c r="A307" s="27"/>
      <c r="B307" s="22"/>
      <c r="C307" s="28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" customHeight="1">
      <c r="A308" s="27"/>
      <c r="B308" s="22"/>
      <c r="C308" s="28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" customHeight="1">
      <c r="A309" s="27"/>
      <c r="B309" s="22"/>
      <c r="C309" s="28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" customHeight="1">
      <c r="A310" s="27"/>
      <c r="B310" s="22"/>
      <c r="C310" s="28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" customHeight="1">
      <c r="A311" s="27"/>
      <c r="B311" s="22"/>
      <c r="C311" s="28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" customHeight="1">
      <c r="A312" s="27"/>
      <c r="B312" s="22"/>
      <c r="C312" s="28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" customHeight="1">
      <c r="A313" s="27"/>
      <c r="B313" s="22"/>
      <c r="C313" s="28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" customHeight="1">
      <c r="A314" s="27"/>
      <c r="B314" s="22"/>
      <c r="C314" s="28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" customHeight="1">
      <c r="A315" s="27"/>
      <c r="B315" s="22"/>
      <c r="C315" s="28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" customHeight="1">
      <c r="A316" s="27"/>
      <c r="B316" s="22"/>
      <c r="C316" s="28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" customHeight="1">
      <c r="A317" s="27"/>
      <c r="B317" s="22"/>
      <c r="C317" s="28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" customHeight="1">
      <c r="A318" s="27"/>
      <c r="B318" s="22"/>
      <c r="C318" s="28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" customHeight="1">
      <c r="A319" s="27"/>
      <c r="B319" s="22"/>
      <c r="C319" s="28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" customHeight="1">
      <c r="A320" s="27"/>
      <c r="B320" s="22"/>
      <c r="C320" s="28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" customHeight="1">
      <c r="A321" s="27"/>
      <c r="B321" s="22"/>
      <c r="C321" s="28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" customHeight="1">
      <c r="A322" s="27"/>
      <c r="B322" s="22"/>
      <c r="C322" s="28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" customHeight="1">
      <c r="A323" s="27"/>
      <c r="B323" s="22"/>
      <c r="C323" s="28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" customHeight="1">
      <c r="A324" s="27"/>
      <c r="B324" s="22"/>
      <c r="C324" s="28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" customHeight="1">
      <c r="A325" s="27"/>
      <c r="B325" s="22"/>
      <c r="C325" s="28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" customHeight="1">
      <c r="A326" s="27"/>
      <c r="B326" s="22"/>
      <c r="C326" s="28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" customHeight="1">
      <c r="A327" s="27"/>
      <c r="B327" s="22"/>
      <c r="C327" s="28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" customHeight="1">
      <c r="A328" s="27"/>
      <c r="B328" s="22"/>
      <c r="C328" s="28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" customHeight="1">
      <c r="A329" s="27"/>
      <c r="B329" s="22"/>
      <c r="C329" s="28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" customHeight="1">
      <c r="A330" s="27"/>
      <c r="B330" s="22"/>
      <c r="C330" s="28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" customHeight="1">
      <c r="A331" s="27"/>
      <c r="B331" s="22"/>
      <c r="C331" s="28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" customHeight="1">
      <c r="A332" s="27"/>
      <c r="B332" s="22"/>
      <c r="C332" s="28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" customHeight="1">
      <c r="A333" s="27"/>
      <c r="B333" s="22"/>
      <c r="C333" s="28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" customHeight="1">
      <c r="A334" s="27"/>
      <c r="B334" s="22"/>
      <c r="C334" s="28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" customHeight="1">
      <c r="A335" s="27"/>
      <c r="B335" s="22"/>
      <c r="C335" s="28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" customHeight="1">
      <c r="A336" s="27"/>
      <c r="B336" s="22"/>
      <c r="C336" s="28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" customHeight="1">
      <c r="A337" s="27"/>
      <c r="B337" s="22"/>
      <c r="C337" s="28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" customHeight="1">
      <c r="A338" s="27"/>
      <c r="B338" s="22"/>
      <c r="C338" s="28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" customHeight="1">
      <c r="A339" s="27"/>
      <c r="B339" s="22"/>
      <c r="C339" s="28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" customHeight="1">
      <c r="A340" s="27"/>
      <c r="B340" s="22"/>
      <c r="C340" s="28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" customHeight="1">
      <c r="A341" s="27"/>
      <c r="B341" s="22"/>
      <c r="C341" s="28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" customHeight="1">
      <c r="A342" s="27"/>
      <c r="B342" s="22"/>
      <c r="C342" s="28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" customHeight="1">
      <c r="A343" s="27"/>
      <c r="B343" s="22"/>
      <c r="C343" s="28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" customHeight="1">
      <c r="A344" s="27"/>
      <c r="B344" s="22"/>
      <c r="C344" s="28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" customHeight="1">
      <c r="A345" s="27"/>
      <c r="B345" s="22"/>
      <c r="C345" s="28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" customHeight="1">
      <c r="A346" s="27"/>
      <c r="B346" s="22"/>
      <c r="C346" s="28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" customHeight="1">
      <c r="A347" s="27"/>
      <c r="B347" s="22"/>
      <c r="C347" s="28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" customHeight="1">
      <c r="A348" s="27"/>
      <c r="B348" s="22"/>
      <c r="C348" s="28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" customHeight="1">
      <c r="A349" s="27"/>
      <c r="B349" s="22"/>
      <c r="C349" s="28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" customHeight="1">
      <c r="A350" s="27"/>
      <c r="B350" s="22"/>
      <c r="C350" s="28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" customHeight="1">
      <c r="A351" s="27"/>
      <c r="B351" s="22"/>
      <c r="C351" s="28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" customHeight="1">
      <c r="A352" s="27"/>
      <c r="B352" s="22"/>
      <c r="C352" s="28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" customHeight="1">
      <c r="A353" s="27"/>
      <c r="B353" s="22"/>
      <c r="C353" s="28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" customHeight="1">
      <c r="A354" s="27"/>
      <c r="B354" s="22"/>
      <c r="C354" s="28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" customHeight="1">
      <c r="A355" s="27"/>
      <c r="B355" s="22"/>
      <c r="C355" s="28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" customHeight="1">
      <c r="A356" s="27"/>
      <c r="B356" s="22"/>
      <c r="C356" s="28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" customHeight="1">
      <c r="A357" s="27"/>
      <c r="B357" s="22"/>
      <c r="C357" s="28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" customHeight="1">
      <c r="A358" s="27"/>
      <c r="B358" s="22"/>
      <c r="C358" s="28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" customHeight="1">
      <c r="A359" s="27"/>
      <c r="B359" s="22"/>
      <c r="C359" s="28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" customHeight="1">
      <c r="A360" s="27"/>
      <c r="B360" s="22"/>
      <c r="C360" s="28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" customHeight="1">
      <c r="A361" s="27"/>
      <c r="B361" s="22"/>
      <c r="C361" s="28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" customHeight="1">
      <c r="A362" s="27"/>
      <c r="B362" s="22"/>
      <c r="C362" s="28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" customHeight="1">
      <c r="A363" s="27"/>
      <c r="B363" s="22"/>
      <c r="C363" s="28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" customHeight="1">
      <c r="A364" s="27"/>
      <c r="B364" s="22"/>
      <c r="C364" s="28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" customHeight="1">
      <c r="A365" s="27"/>
      <c r="B365" s="22"/>
      <c r="C365" s="28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" customHeight="1">
      <c r="A366" s="27"/>
      <c r="B366" s="22"/>
      <c r="C366" s="28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" customHeight="1">
      <c r="A367" s="27"/>
      <c r="B367" s="22"/>
      <c r="C367" s="28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" customHeight="1">
      <c r="A368" s="27"/>
      <c r="B368" s="22"/>
      <c r="C368" s="28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" customHeight="1">
      <c r="A369" s="27"/>
      <c r="B369" s="22"/>
      <c r="C369" s="28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" customHeight="1">
      <c r="A370" s="27"/>
      <c r="B370" s="22"/>
      <c r="C370" s="28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" customHeight="1">
      <c r="A371" s="27"/>
      <c r="B371" s="22"/>
      <c r="C371" s="28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" customHeight="1">
      <c r="A372" s="27"/>
      <c r="B372" s="22"/>
      <c r="C372" s="28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" customHeight="1">
      <c r="A373" s="27"/>
      <c r="B373" s="22"/>
      <c r="C373" s="28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" customHeight="1">
      <c r="A374" s="27"/>
      <c r="B374" s="22"/>
      <c r="C374" s="28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" customHeight="1">
      <c r="A375" s="27"/>
      <c r="B375" s="22"/>
      <c r="C375" s="28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" customHeight="1">
      <c r="A376" s="27"/>
      <c r="B376" s="22"/>
      <c r="C376" s="28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" customHeight="1">
      <c r="A377" s="27"/>
      <c r="B377" s="22"/>
      <c r="C377" s="28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" customHeight="1">
      <c r="A378" s="27"/>
      <c r="B378" s="22"/>
      <c r="C378" s="28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" customHeight="1">
      <c r="A379" s="27"/>
      <c r="B379" s="22"/>
      <c r="C379" s="28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" customHeight="1">
      <c r="A380" s="27"/>
      <c r="B380" s="22"/>
      <c r="C380" s="28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" customHeight="1">
      <c r="A381" s="27"/>
      <c r="B381" s="22"/>
      <c r="C381" s="28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" customHeight="1">
      <c r="A382" s="27"/>
      <c r="B382" s="22"/>
      <c r="C382" s="28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" customHeight="1">
      <c r="A383" s="27"/>
      <c r="B383" s="22"/>
      <c r="C383" s="28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" customHeight="1">
      <c r="A384" s="27"/>
      <c r="B384" s="22"/>
      <c r="C384" s="28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" customHeight="1">
      <c r="A385" s="27"/>
      <c r="B385" s="22"/>
      <c r="C385" s="28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" customHeight="1">
      <c r="A386" s="27"/>
      <c r="B386" s="22"/>
      <c r="C386" s="28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" customHeight="1">
      <c r="A387" s="27"/>
      <c r="B387" s="22"/>
      <c r="C387" s="28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" customHeight="1">
      <c r="A388" s="27"/>
      <c r="B388" s="22"/>
      <c r="C388" s="28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" customHeight="1">
      <c r="A389" s="27"/>
      <c r="B389" s="22"/>
      <c r="C389" s="28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" customHeight="1">
      <c r="A390" s="27"/>
      <c r="B390" s="22"/>
      <c r="C390" s="28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" customHeight="1">
      <c r="A391" s="27"/>
      <c r="B391" s="22"/>
      <c r="C391" s="28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" customHeight="1">
      <c r="A392" s="27"/>
      <c r="B392" s="22"/>
      <c r="C392" s="28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" customHeight="1">
      <c r="A393" s="27"/>
      <c r="B393" s="22"/>
      <c r="C393" s="28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" customHeight="1">
      <c r="A394" s="27"/>
      <c r="B394" s="22"/>
      <c r="C394" s="28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" customHeight="1">
      <c r="A395" s="27"/>
      <c r="B395" s="22"/>
      <c r="C395" s="28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" customHeight="1">
      <c r="A396" s="27"/>
      <c r="B396" s="22"/>
      <c r="C396" s="28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" customHeight="1">
      <c r="A397" s="27"/>
      <c r="B397" s="22"/>
      <c r="C397" s="28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" customHeight="1">
      <c r="A398" s="27"/>
      <c r="B398" s="22"/>
      <c r="C398" s="28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" customHeight="1">
      <c r="A399" s="27"/>
      <c r="B399" s="22"/>
      <c r="C399" s="28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" customHeight="1">
      <c r="A400" s="27"/>
      <c r="B400" s="22"/>
      <c r="C400" s="28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" customHeight="1">
      <c r="A401" s="27"/>
      <c r="B401" s="22"/>
      <c r="C401" s="28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" customHeight="1">
      <c r="A402" s="27"/>
      <c r="B402" s="22"/>
      <c r="C402" s="28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" customHeight="1">
      <c r="A403" s="27"/>
      <c r="B403" s="22"/>
      <c r="C403" s="28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" customHeight="1">
      <c r="A404" s="27"/>
      <c r="B404" s="22"/>
      <c r="C404" s="28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" customHeight="1">
      <c r="A405" s="27"/>
      <c r="B405" s="22"/>
      <c r="C405" s="28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" customHeight="1">
      <c r="A406" s="27"/>
      <c r="B406" s="22"/>
      <c r="C406" s="28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" customHeight="1">
      <c r="A407" s="27"/>
      <c r="B407" s="22"/>
      <c r="C407" s="28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" customHeight="1">
      <c r="A408" s="27"/>
      <c r="B408" s="22"/>
      <c r="C408" s="28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" customHeight="1">
      <c r="A409" s="27"/>
      <c r="B409" s="22"/>
      <c r="C409" s="28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" customHeight="1">
      <c r="A410" s="27"/>
      <c r="B410" s="22"/>
      <c r="C410" s="28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" customHeight="1">
      <c r="A411" s="27"/>
      <c r="B411" s="22"/>
      <c r="C411" s="28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" customHeight="1">
      <c r="A412" s="27"/>
      <c r="B412" s="22"/>
      <c r="C412" s="28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" customHeight="1">
      <c r="A413" s="27"/>
      <c r="B413" s="22"/>
      <c r="C413" s="28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" customHeight="1">
      <c r="A414" s="27"/>
      <c r="B414" s="22"/>
      <c r="C414" s="28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" customHeight="1">
      <c r="A415" s="27"/>
      <c r="B415" s="22"/>
      <c r="C415" s="28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" customHeight="1">
      <c r="A416" s="27"/>
      <c r="B416" s="22"/>
      <c r="C416" s="28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" customHeight="1">
      <c r="A417" s="27"/>
      <c r="B417" s="22"/>
      <c r="C417" s="28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" customHeight="1">
      <c r="A418" s="27"/>
      <c r="B418" s="22"/>
      <c r="C418" s="28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" customHeight="1">
      <c r="A419" s="27"/>
      <c r="B419" s="22"/>
      <c r="C419" s="28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" customHeight="1">
      <c r="A420" s="27"/>
      <c r="B420" s="22"/>
      <c r="C420" s="28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" customHeight="1">
      <c r="A421" s="27"/>
      <c r="B421" s="22"/>
      <c r="C421" s="28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" customHeight="1">
      <c r="A422" s="27"/>
      <c r="B422" s="22"/>
      <c r="C422" s="28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" customHeight="1">
      <c r="A423" s="27"/>
      <c r="B423" s="22"/>
      <c r="C423" s="28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" customHeight="1">
      <c r="A424" s="27"/>
      <c r="B424" s="22"/>
      <c r="C424" s="28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" customHeight="1">
      <c r="A425" s="27"/>
      <c r="B425" s="22"/>
      <c r="C425" s="28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" customHeight="1">
      <c r="A426" s="27"/>
      <c r="B426" s="22"/>
      <c r="C426" s="28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" customHeight="1">
      <c r="A427" s="27"/>
      <c r="B427" s="22"/>
      <c r="C427" s="28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" customHeight="1">
      <c r="A428" s="27"/>
      <c r="B428" s="22"/>
      <c r="C428" s="28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" customHeight="1">
      <c r="A429" s="27"/>
      <c r="B429" s="22"/>
      <c r="C429" s="28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" customHeight="1">
      <c r="A430" s="27"/>
      <c r="B430" s="22"/>
      <c r="C430" s="28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" customHeight="1">
      <c r="A431" s="27"/>
      <c r="B431" s="22"/>
      <c r="C431" s="28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" customHeight="1">
      <c r="A432" s="27"/>
      <c r="B432" s="22"/>
      <c r="C432" s="28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" customHeight="1">
      <c r="A433" s="27"/>
      <c r="B433" s="22"/>
      <c r="C433" s="28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" customHeight="1">
      <c r="A434" s="27"/>
      <c r="B434" s="22"/>
      <c r="C434" s="28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" customHeight="1">
      <c r="A435" s="27"/>
      <c r="B435" s="22"/>
      <c r="C435" s="28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" customHeight="1">
      <c r="A436" s="27"/>
      <c r="B436" s="22"/>
      <c r="C436" s="28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" customHeight="1">
      <c r="A437" s="27"/>
      <c r="B437" s="22"/>
      <c r="C437" s="28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" customHeight="1">
      <c r="A438" s="27"/>
      <c r="B438" s="22"/>
      <c r="C438" s="28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" customHeight="1">
      <c r="A439" s="27"/>
      <c r="B439" s="22"/>
      <c r="C439" s="28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" customHeight="1">
      <c r="A440" s="27"/>
      <c r="B440" s="22"/>
      <c r="C440" s="28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" customHeight="1">
      <c r="A441" s="27"/>
      <c r="B441" s="22"/>
      <c r="C441" s="28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" customHeight="1">
      <c r="A442" s="27"/>
      <c r="B442" s="22"/>
      <c r="C442" s="28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" customHeight="1">
      <c r="A443" s="27"/>
      <c r="B443" s="22"/>
      <c r="C443" s="28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" customHeight="1">
      <c r="A444" s="27"/>
      <c r="B444" s="22"/>
      <c r="C444" s="28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" customHeight="1">
      <c r="A445" s="27"/>
      <c r="B445" s="22"/>
      <c r="C445" s="28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" customHeight="1">
      <c r="A446" s="27"/>
      <c r="B446" s="22"/>
      <c r="C446" s="28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" customHeight="1">
      <c r="A447" s="27"/>
      <c r="B447" s="22"/>
      <c r="C447" s="28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" customHeight="1">
      <c r="A448" s="27"/>
      <c r="B448" s="22"/>
      <c r="C448" s="28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" customHeight="1">
      <c r="A449" s="27"/>
      <c r="B449" s="22"/>
      <c r="C449" s="28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" customHeight="1">
      <c r="A450" s="27"/>
      <c r="B450" s="22"/>
      <c r="C450" s="28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" customHeight="1">
      <c r="A451" s="27"/>
      <c r="B451" s="22"/>
      <c r="C451" s="28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" customHeight="1">
      <c r="A452" s="27"/>
      <c r="B452" s="22"/>
      <c r="C452" s="28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" customHeight="1">
      <c r="A453" s="27"/>
      <c r="B453" s="22"/>
      <c r="C453" s="28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" customHeight="1">
      <c r="A454" s="27"/>
      <c r="B454" s="22"/>
      <c r="C454" s="28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" customHeight="1">
      <c r="A455" s="27"/>
      <c r="B455" s="22"/>
      <c r="C455" s="28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" customHeight="1">
      <c r="A456" s="27"/>
      <c r="B456" s="22"/>
      <c r="C456" s="28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" customHeight="1">
      <c r="A457" s="27"/>
      <c r="B457" s="22"/>
      <c r="C457" s="28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" customHeight="1">
      <c r="A458" s="27"/>
      <c r="B458" s="22"/>
      <c r="C458" s="28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" customHeight="1">
      <c r="A459" s="27"/>
      <c r="B459" s="22"/>
      <c r="C459" s="28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" customHeight="1">
      <c r="A460" s="27"/>
      <c r="B460" s="22"/>
      <c r="C460" s="28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" customHeight="1">
      <c r="A461" s="27"/>
      <c r="B461" s="22"/>
      <c r="C461" s="28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" customHeight="1">
      <c r="A462" s="27"/>
      <c r="B462" s="22"/>
      <c r="C462" s="28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" customHeight="1">
      <c r="A463" s="27"/>
      <c r="B463" s="22"/>
      <c r="C463" s="28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" customHeight="1">
      <c r="A464" s="27"/>
      <c r="B464" s="22"/>
      <c r="C464" s="28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" customHeight="1">
      <c r="A465" s="27"/>
      <c r="B465" s="22"/>
      <c r="C465" s="28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" customHeight="1">
      <c r="A466" s="27"/>
      <c r="B466" s="22"/>
      <c r="C466" s="28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" customHeight="1">
      <c r="A467" s="27"/>
      <c r="B467" s="22"/>
      <c r="C467" s="28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" customHeight="1">
      <c r="A468" s="27"/>
      <c r="B468" s="22"/>
      <c r="C468" s="28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" customHeight="1">
      <c r="A469" s="27"/>
      <c r="B469" s="22"/>
      <c r="C469" s="28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" customHeight="1">
      <c r="A470" s="27"/>
      <c r="B470" s="22"/>
      <c r="C470" s="28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" customHeight="1">
      <c r="A471" s="27"/>
      <c r="B471" s="22"/>
      <c r="C471" s="28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" customHeight="1">
      <c r="A472" s="27"/>
      <c r="B472" s="22"/>
      <c r="C472" s="28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" customHeight="1">
      <c r="A473" s="27"/>
      <c r="B473" s="22"/>
      <c r="C473" s="28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" customHeight="1">
      <c r="A474" s="27"/>
      <c r="B474" s="22"/>
      <c r="C474" s="28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" customHeight="1">
      <c r="A475" s="27"/>
      <c r="B475" s="22"/>
      <c r="C475" s="28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" customHeight="1">
      <c r="A476" s="27"/>
      <c r="B476" s="22"/>
      <c r="C476" s="28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" customHeight="1">
      <c r="A477" s="27"/>
      <c r="B477" s="22"/>
      <c r="C477" s="28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" customHeight="1">
      <c r="A478" s="27"/>
      <c r="B478" s="22"/>
      <c r="C478" s="28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" customHeight="1">
      <c r="A479" s="27"/>
      <c r="B479" s="22"/>
      <c r="C479" s="28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" customHeight="1">
      <c r="A480" s="27"/>
      <c r="B480" s="22"/>
      <c r="C480" s="28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" customHeight="1">
      <c r="A481" s="27"/>
      <c r="B481" s="22"/>
      <c r="C481" s="28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" customHeight="1">
      <c r="A482" s="27"/>
      <c r="B482" s="22"/>
      <c r="C482" s="28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" customHeight="1">
      <c r="A483" s="27"/>
      <c r="B483" s="22"/>
      <c r="C483" s="28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" customHeight="1">
      <c r="A484" s="27"/>
      <c r="B484" s="22"/>
      <c r="C484" s="28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" customHeight="1">
      <c r="A485" s="27"/>
      <c r="B485" s="22"/>
      <c r="C485" s="28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" customHeight="1">
      <c r="A486" s="27"/>
      <c r="B486" s="22"/>
      <c r="C486" s="28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" customHeight="1">
      <c r="A487" s="27"/>
      <c r="B487" s="22"/>
      <c r="C487" s="28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" customHeight="1">
      <c r="A488" s="27"/>
      <c r="B488" s="22"/>
      <c r="C488" s="28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" customHeight="1">
      <c r="A489" s="27"/>
      <c r="B489" s="22"/>
      <c r="C489" s="28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" customHeight="1">
      <c r="A490" s="27"/>
      <c r="B490" s="22"/>
      <c r="C490" s="28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" customHeight="1">
      <c r="A491" s="27"/>
      <c r="B491" s="22"/>
      <c r="C491" s="28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" customHeight="1">
      <c r="A492" s="27"/>
      <c r="B492" s="22"/>
      <c r="C492" s="28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" customHeight="1">
      <c r="A493" s="27"/>
      <c r="B493" s="22"/>
      <c r="C493" s="28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" customHeight="1">
      <c r="A494" s="27"/>
      <c r="B494" s="22"/>
      <c r="C494" s="28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" customHeight="1">
      <c r="A495" s="27"/>
      <c r="B495" s="22"/>
      <c r="C495" s="28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" customHeight="1">
      <c r="A496" s="27"/>
      <c r="B496" s="22"/>
      <c r="C496" s="28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" customHeight="1">
      <c r="A497" s="27"/>
      <c r="B497" s="22"/>
      <c r="C497" s="28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" customHeight="1">
      <c r="A498" s="27"/>
      <c r="B498" s="22"/>
      <c r="C498" s="28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" customHeight="1">
      <c r="A499" s="27"/>
      <c r="B499" s="22"/>
      <c r="C499" s="28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" customHeight="1">
      <c r="A500" s="27"/>
      <c r="B500" s="22"/>
      <c r="C500" s="28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" customHeight="1">
      <c r="A501" s="27"/>
      <c r="B501" s="22"/>
      <c r="C501" s="28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" customHeight="1">
      <c r="A502" s="27"/>
      <c r="B502" s="22"/>
      <c r="C502" s="28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" customHeight="1">
      <c r="A503" s="27"/>
      <c r="B503" s="22"/>
      <c r="C503" s="28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" customHeight="1">
      <c r="A504" s="27"/>
      <c r="B504" s="22"/>
      <c r="C504" s="28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" customHeight="1">
      <c r="A505" s="27"/>
      <c r="B505" s="22"/>
      <c r="C505" s="28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" customHeight="1">
      <c r="A506" s="27"/>
      <c r="B506" s="22"/>
      <c r="C506" s="28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" customHeight="1">
      <c r="A507" s="27"/>
      <c r="B507" s="22"/>
      <c r="C507" s="28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" customHeight="1">
      <c r="A508" s="27"/>
      <c r="B508" s="22"/>
      <c r="C508" s="28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" customHeight="1">
      <c r="A509" s="27"/>
      <c r="B509" s="22"/>
      <c r="C509" s="28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" customHeight="1">
      <c r="A510" s="27"/>
      <c r="B510" s="22"/>
      <c r="C510" s="28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" customHeight="1">
      <c r="A511" s="27"/>
      <c r="B511" s="22"/>
      <c r="C511" s="28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" customHeight="1">
      <c r="A512" s="27"/>
      <c r="B512" s="22"/>
      <c r="C512" s="28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" customHeight="1">
      <c r="A513" s="27"/>
      <c r="B513" s="22"/>
      <c r="C513" s="28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" customHeight="1">
      <c r="A514" s="27"/>
      <c r="B514" s="22"/>
      <c r="C514" s="28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" customHeight="1">
      <c r="A515" s="27"/>
      <c r="B515" s="22"/>
      <c r="C515" s="28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" customHeight="1">
      <c r="A516" s="27"/>
      <c r="B516" s="22"/>
      <c r="C516" s="28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" customHeight="1">
      <c r="A517" s="27"/>
      <c r="B517" s="22"/>
      <c r="C517" s="28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" customHeight="1">
      <c r="A518" s="27"/>
      <c r="B518" s="22"/>
      <c r="C518" s="28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" customHeight="1">
      <c r="A519" s="27"/>
      <c r="B519" s="22"/>
      <c r="C519" s="28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" customHeight="1">
      <c r="A520" s="27"/>
      <c r="B520" s="22"/>
      <c r="C520" s="28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" customHeight="1">
      <c r="A521" s="27"/>
      <c r="B521" s="22"/>
      <c r="C521" s="28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" customHeight="1">
      <c r="A522" s="27"/>
      <c r="B522" s="22"/>
      <c r="C522" s="28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" customHeight="1">
      <c r="A523" s="27"/>
      <c r="B523" s="22"/>
      <c r="C523" s="28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" customHeight="1">
      <c r="A524" s="27"/>
      <c r="B524" s="22"/>
      <c r="C524" s="28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" customHeight="1">
      <c r="A525" s="27"/>
      <c r="B525" s="22"/>
      <c r="C525" s="28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" customHeight="1">
      <c r="A526" s="27"/>
      <c r="B526" s="22"/>
      <c r="C526" s="28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" customHeight="1">
      <c r="A527" s="27"/>
      <c r="B527" s="22"/>
      <c r="C527" s="28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" customHeight="1">
      <c r="A528" s="27"/>
      <c r="B528" s="22"/>
      <c r="C528" s="28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" customHeight="1">
      <c r="A529" s="27"/>
      <c r="B529" s="22"/>
      <c r="C529" s="28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" customHeight="1">
      <c r="A530" s="27"/>
      <c r="B530" s="22"/>
      <c r="C530" s="28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" customHeight="1">
      <c r="A531" s="27"/>
      <c r="B531" s="22"/>
      <c r="C531" s="28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" customHeight="1">
      <c r="A532" s="27"/>
      <c r="B532" s="22"/>
      <c r="C532" s="28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" customHeight="1">
      <c r="A533" s="27"/>
      <c r="B533" s="22"/>
      <c r="C533" s="28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" customHeight="1">
      <c r="A534" s="27"/>
      <c r="B534" s="22"/>
      <c r="C534" s="28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" customHeight="1">
      <c r="A535" s="27"/>
      <c r="B535" s="22"/>
      <c r="C535" s="28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" customHeight="1">
      <c r="A536" s="27"/>
      <c r="B536" s="22"/>
      <c r="C536" s="28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" customHeight="1">
      <c r="A537" s="27"/>
      <c r="B537" s="22"/>
      <c r="C537" s="28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" customHeight="1">
      <c r="A538" s="27"/>
      <c r="B538" s="22"/>
      <c r="C538" s="28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" customHeight="1">
      <c r="A539" s="27"/>
      <c r="B539" s="22"/>
      <c r="C539" s="28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" customHeight="1">
      <c r="A540" s="27"/>
      <c r="B540" s="22"/>
      <c r="C540" s="28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" customHeight="1">
      <c r="A541" s="27"/>
      <c r="B541" s="22"/>
      <c r="C541" s="28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" customHeight="1">
      <c r="A542" s="27"/>
      <c r="B542" s="22"/>
      <c r="C542" s="28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" customHeight="1">
      <c r="A543" s="27"/>
      <c r="B543" s="22"/>
      <c r="C543" s="28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" customHeight="1">
      <c r="A544" s="27"/>
      <c r="B544" s="22"/>
      <c r="C544" s="28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" customHeight="1">
      <c r="A545" s="27"/>
      <c r="B545" s="22"/>
      <c r="C545" s="28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" customHeight="1">
      <c r="A546" s="27"/>
      <c r="B546" s="22"/>
      <c r="C546" s="28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" customHeight="1">
      <c r="A547" s="27"/>
      <c r="B547" s="22"/>
      <c r="C547" s="28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" customHeight="1">
      <c r="A548" s="27"/>
      <c r="B548" s="22"/>
      <c r="C548" s="28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" customHeight="1">
      <c r="A549" s="27"/>
      <c r="B549" s="22"/>
      <c r="C549" s="28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" customHeight="1">
      <c r="A550" s="27"/>
      <c r="B550" s="22"/>
      <c r="C550" s="28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" customHeight="1">
      <c r="A551" s="27"/>
      <c r="B551" s="22"/>
      <c r="C551" s="28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" customHeight="1">
      <c r="A552" s="27"/>
      <c r="B552" s="22"/>
      <c r="C552" s="28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" customHeight="1">
      <c r="A553" s="27"/>
      <c r="B553" s="22"/>
      <c r="C553" s="28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" customHeight="1">
      <c r="A554" s="27"/>
      <c r="B554" s="22"/>
      <c r="C554" s="28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" customHeight="1">
      <c r="A555" s="27"/>
      <c r="B555" s="22"/>
      <c r="C555" s="28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" customHeight="1">
      <c r="A556" s="27"/>
      <c r="B556" s="22"/>
      <c r="C556" s="28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" customHeight="1">
      <c r="A557" s="27"/>
      <c r="B557" s="22"/>
      <c r="C557" s="28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" customHeight="1">
      <c r="A558" s="27"/>
      <c r="B558" s="22"/>
      <c r="C558" s="28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" customHeight="1">
      <c r="A559" s="27"/>
      <c r="B559" s="22"/>
      <c r="C559" s="28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" customHeight="1">
      <c r="A560" s="27"/>
      <c r="B560" s="22"/>
      <c r="C560" s="28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" customHeight="1">
      <c r="A561" s="27"/>
      <c r="B561" s="22"/>
      <c r="C561" s="28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" customHeight="1">
      <c r="A562" s="27"/>
      <c r="B562" s="22"/>
      <c r="C562" s="28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" customHeight="1">
      <c r="A563" s="27"/>
      <c r="B563" s="22"/>
      <c r="C563" s="28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" customHeight="1">
      <c r="A564" s="27"/>
      <c r="B564" s="22"/>
      <c r="C564" s="28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" customHeight="1">
      <c r="A565" s="27"/>
      <c r="B565" s="22"/>
      <c r="C565" s="28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" customHeight="1">
      <c r="A566" s="27"/>
      <c r="B566" s="22"/>
      <c r="C566" s="28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" customHeight="1">
      <c r="A567" s="27"/>
      <c r="B567" s="22"/>
      <c r="C567" s="28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" customHeight="1">
      <c r="A568" s="27"/>
      <c r="B568" s="22"/>
      <c r="C568" s="28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" customHeight="1">
      <c r="A569" s="27"/>
      <c r="B569" s="22"/>
      <c r="C569" s="28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" customHeight="1">
      <c r="A570" s="27"/>
      <c r="B570" s="22"/>
      <c r="C570" s="28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" customHeight="1">
      <c r="A571" s="27"/>
      <c r="B571" s="22"/>
      <c r="C571" s="28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" customHeight="1">
      <c r="A572" s="27"/>
      <c r="B572" s="22"/>
      <c r="C572" s="28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" customHeight="1">
      <c r="A573" s="27"/>
      <c r="B573" s="22"/>
      <c r="C573" s="28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" customHeight="1">
      <c r="A574" s="27"/>
      <c r="B574" s="22"/>
      <c r="C574" s="28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" customHeight="1">
      <c r="A575" s="27"/>
      <c r="B575" s="22"/>
      <c r="C575" s="28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" customHeight="1">
      <c r="A576" s="27"/>
      <c r="B576" s="22"/>
      <c r="C576" s="28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" customHeight="1">
      <c r="A577" s="27"/>
      <c r="B577" s="22"/>
      <c r="C577" s="28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" customHeight="1">
      <c r="A578" s="27"/>
      <c r="B578" s="22"/>
      <c r="C578" s="28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" customHeight="1">
      <c r="A579" s="27"/>
      <c r="B579" s="22"/>
      <c r="C579" s="28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" customHeight="1">
      <c r="A580" s="27"/>
      <c r="B580" s="22"/>
      <c r="C580" s="28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" customHeight="1">
      <c r="A581" s="27"/>
      <c r="B581" s="22"/>
      <c r="C581" s="28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" customHeight="1">
      <c r="A582" s="27"/>
      <c r="B582" s="22"/>
      <c r="C582" s="28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" customHeight="1">
      <c r="A583" s="27"/>
      <c r="B583" s="22"/>
      <c r="C583" s="28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" customHeight="1">
      <c r="A584" s="27"/>
      <c r="B584" s="22"/>
      <c r="C584" s="28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" customHeight="1">
      <c r="A585" s="27"/>
      <c r="B585" s="22"/>
      <c r="C585" s="28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" customHeight="1">
      <c r="A586" s="27"/>
      <c r="B586" s="22"/>
      <c r="C586" s="28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" customHeight="1">
      <c r="A587" s="27"/>
      <c r="B587" s="22"/>
      <c r="C587" s="28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" customHeight="1">
      <c r="A588" s="27"/>
      <c r="B588" s="22"/>
      <c r="C588" s="28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" customHeight="1">
      <c r="A589" s="27"/>
      <c r="B589" s="22"/>
      <c r="C589" s="28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" customHeight="1">
      <c r="A590" s="27"/>
      <c r="B590" s="22"/>
      <c r="C590" s="28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" customHeight="1">
      <c r="A591" s="27"/>
      <c r="B591" s="22"/>
      <c r="C591" s="28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" customHeight="1">
      <c r="A592" s="27"/>
      <c r="B592" s="22"/>
      <c r="C592" s="28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" customHeight="1">
      <c r="A593" s="27"/>
      <c r="B593" s="22"/>
      <c r="C593" s="28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" customHeight="1">
      <c r="A594" s="27"/>
      <c r="B594" s="22"/>
      <c r="C594" s="28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" customHeight="1">
      <c r="A595" s="27"/>
      <c r="B595" s="22"/>
      <c r="C595" s="28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" customHeight="1">
      <c r="A596" s="27"/>
      <c r="B596" s="22"/>
      <c r="C596" s="28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" customHeight="1">
      <c r="A597" s="27"/>
      <c r="B597" s="22"/>
      <c r="C597" s="28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" customHeight="1">
      <c r="A598" s="27"/>
      <c r="B598" s="22"/>
      <c r="C598" s="28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" customHeight="1">
      <c r="A599" s="27"/>
      <c r="B599" s="22"/>
      <c r="C599" s="28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" customHeight="1">
      <c r="A600" s="27"/>
      <c r="B600" s="22"/>
      <c r="C600" s="28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" customHeight="1">
      <c r="A601" s="27"/>
      <c r="B601" s="22"/>
      <c r="C601" s="28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" customHeight="1">
      <c r="A602" s="27"/>
      <c r="B602" s="22"/>
      <c r="C602" s="28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" customHeight="1">
      <c r="A603" s="27"/>
      <c r="B603" s="22"/>
      <c r="C603" s="28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" customHeight="1">
      <c r="A604" s="27"/>
      <c r="B604" s="22"/>
      <c r="C604" s="28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" customHeight="1">
      <c r="A605" s="27"/>
      <c r="B605" s="22"/>
      <c r="C605" s="28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" customHeight="1">
      <c r="A606" s="27"/>
      <c r="B606" s="22"/>
      <c r="C606" s="28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" customHeight="1">
      <c r="A607" s="27"/>
      <c r="B607" s="22"/>
      <c r="C607" s="28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" customHeight="1">
      <c r="A608" s="27"/>
      <c r="B608" s="22"/>
      <c r="C608" s="28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" customHeight="1">
      <c r="A609" s="27"/>
      <c r="B609" s="22"/>
      <c r="C609" s="28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" customHeight="1">
      <c r="A610" s="27"/>
      <c r="B610" s="22"/>
      <c r="C610" s="28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" customHeight="1">
      <c r="A611" s="27"/>
      <c r="B611" s="22"/>
      <c r="C611" s="28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" customHeight="1">
      <c r="A612" s="27"/>
      <c r="B612" s="22"/>
      <c r="C612" s="28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" customHeight="1">
      <c r="A613" s="27"/>
      <c r="B613" s="22"/>
      <c r="C613" s="28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" customHeight="1">
      <c r="A614" s="27"/>
      <c r="B614" s="22"/>
      <c r="C614" s="28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" customHeight="1">
      <c r="A615" s="27"/>
      <c r="B615" s="22"/>
      <c r="C615" s="28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" customHeight="1">
      <c r="A616" s="27"/>
      <c r="B616" s="22"/>
      <c r="C616" s="28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" customHeight="1">
      <c r="A617" s="27"/>
      <c r="B617" s="22"/>
      <c r="C617" s="28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" customHeight="1">
      <c r="A618" s="27"/>
      <c r="B618" s="22"/>
      <c r="C618" s="28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" customHeight="1">
      <c r="A619" s="27"/>
      <c r="B619" s="22"/>
      <c r="C619" s="28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" customHeight="1">
      <c r="A620" s="27"/>
      <c r="B620" s="22"/>
      <c r="C620" s="28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" customHeight="1">
      <c r="A621" s="27"/>
      <c r="B621" s="22"/>
      <c r="C621" s="28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" customHeight="1">
      <c r="A622" s="27"/>
      <c r="B622" s="22"/>
      <c r="C622" s="28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" customHeight="1">
      <c r="A623" s="27"/>
      <c r="B623" s="22"/>
      <c r="C623" s="28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" customHeight="1">
      <c r="A624" s="27"/>
      <c r="B624" s="22"/>
      <c r="C624" s="28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" customHeight="1">
      <c r="A625" s="27"/>
      <c r="B625" s="22"/>
      <c r="C625" s="28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" customHeight="1">
      <c r="A626" s="27"/>
      <c r="B626" s="22"/>
      <c r="C626" s="28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" customHeight="1">
      <c r="A627" s="27"/>
      <c r="B627" s="22"/>
      <c r="C627" s="28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" customHeight="1">
      <c r="A628" s="27"/>
      <c r="B628" s="22"/>
      <c r="C628" s="28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" customHeight="1">
      <c r="A629" s="27"/>
      <c r="B629" s="22"/>
      <c r="C629" s="28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" customHeight="1">
      <c r="A630" s="27"/>
      <c r="B630" s="22"/>
      <c r="C630" s="28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" customHeight="1">
      <c r="A631" s="27"/>
      <c r="B631" s="22"/>
      <c r="C631" s="28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" customHeight="1">
      <c r="A632" s="27"/>
      <c r="B632" s="22"/>
      <c r="C632" s="28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" customHeight="1">
      <c r="A633" s="27"/>
      <c r="B633" s="22"/>
      <c r="C633" s="28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" customHeight="1">
      <c r="A634" s="27"/>
      <c r="B634" s="22"/>
      <c r="C634" s="28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" customHeight="1">
      <c r="A635" s="27"/>
      <c r="B635" s="22"/>
      <c r="C635" s="28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" customHeight="1">
      <c r="A636" s="27"/>
      <c r="B636" s="22"/>
      <c r="C636" s="28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" customHeight="1">
      <c r="A637" s="27"/>
      <c r="B637" s="22"/>
      <c r="C637" s="28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" customHeight="1">
      <c r="A638" s="27"/>
      <c r="B638" s="22"/>
      <c r="C638" s="28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" customHeight="1">
      <c r="A639" s="27"/>
      <c r="B639" s="22"/>
      <c r="C639" s="28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" customHeight="1">
      <c r="A640" s="27"/>
      <c r="B640" s="22"/>
      <c r="C640" s="28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" customHeight="1">
      <c r="A641" s="27"/>
      <c r="B641" s="22"/>
      <c r="C641" s="28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" customHeight="1">
      <c r="A642" s="27"/>
      <c r="B642" s="22"/>
      <c r="C642" s="28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" customHeight="1">
      <c r="A643" s="27"/>
      <c r="B643" s="22"/>
      <c r="C643" s="28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" customHeight="1">
      <c r="A644" s="27"/>
      <c r="B644" s="22"/>
      <c r="C644" s="28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" customHeight="1">
      <c r="A645" s="27"/>
      <c r="B645" s="22"/>
      <c r="C645" s="28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" customHeight="1">
      <c r="A646" s="27"/>
      <c r="B646" s="22"/>
      <c r="C646" s="28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" customHeight="1">
      <c r="A647" s="27"/>
      <c r="B647" s="22"/>
      <c r="C647" s="28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" customHeight="1">
      <c r="A648" s="27"/>
      <c r="B648" s="22"/>
      <c r="C648" s="28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" customHeight="1">
      <c r="A649" s="27"/>
      <c r="B649" s="22"/>
      <c r="C649" s="28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" customHeight="1">
      <c r="A650" s="27"/>
      <c r="B650" s="22"/>
      <c r="C650" s="28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" customHeight="1">
      <c r="A651" s="27"/>
      <c r="B651" s="22"/>
      <c r="C651" s="28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" customHeight="1">
      <c r="A652" s="27"/>
      <c r="B652" s="22"/>
      <c r="C652" s="28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" customHeight="1">
      <c r="A653" s="27"/>
      <c r="B653" s="22"/>
      <c r="C653" s="28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" customHeight="1">
      <c r="A654" s="27"/>
      <c r="B654" s="22"/>
      <c r="C654" s="28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" customHeight="1">
      <c r="A655" s="27"/>
      <c r="B655" s="22"/>
      <c r="C655" s="28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" customHeight="1">
      <c r="A656" s="27"/>
      <c r="B656" s="22"/>
      <c r="C656" s="28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" customHeight="1">
      <c r="A657" s="27"/>
      <c r="B657" s="22"/>
      <c r="C657" s="28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" customHeight="1">
      <c r="A658" s="27"/>
      <c r="B658" s="22"/>
      <c r="C658" s="28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" customHeight="1">
      <c r="A659" s="27"/>
      <c r="B659" s="22"/>
      <c r="C659" s="28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" customHeight="1">
      <c r="A660" s="27"/>
      <c r="B660" s="22"/>
      <c r="C660" s="28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" customHeight="1">
      <c r="A661" s="27"/>
      <c r="B661" s="22"/>
      <c r="C661" s="28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" customHeight="1">
      <c r="A662" s="27"/>
      <c r="B662" s="22"/>
      <c r="C662" s="28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" customHeight="1">
      <c r="A663" s="27"/>
      <c r="B663" s="22"/>
      <c r="C663" s="28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" customHeight="1">
      <c r="A664" s="27"/>
      <c r="B664" s="22"/>
      <c r="C664" s="28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" customHeight="1">
      <c r="A665" s="27"/>
      <c r="B665" s="22"/>
      <c r="C665" s="28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" customHeight="1">
      <c r="A666" s="27"/>
      <c r="B666" s="22"/>
      <c r="C666" s="28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" customHeight="1">
      <c r="A667" s="27"/>
      <c r="B667" s="22"/>
      <c r="C667" s="28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" customHeight="1">
      <c r="A668" s="27"/>
      <c r="B668" s="22"/>
      <c r="C668" s="28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" customHeight="1">
      <c r="A669" s="27"/>
      <c r="B669" s="22"/>
      <c r="C669" s="28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" customHeight="1">
      <c r="A670" s="27"/>
      <c r="B670" s="22"/>
      <c r="C670" s="28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" customHeight="1">
      <c r="A671" s="27"/>
      <c r="B671" s="22"/>
      <c r="C671" s="28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" customHeight="1">
      <c r="A672" s="27"/>
      <c r="B672" s="22"/>
      <c r="C672" s="28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" customHeight="1">
      <c r="A673" s="27"/>
      <c r="B673" s="22"/>
      <c r="C673" s="28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" customHeight="1">
      <c r="A674" s="27"/>
      <c r="B674" s="22"/>
      <c r="C674" s="28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" customHeight="1">
      <c r="A675" s="27"/>
      <c r="B675" s="22"/>
      <c r="C675" s="28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" customHeight="1">
      <c r="A676" s="27"/>
      <c r="B676" s="22"/>
      <c r="C676" s="28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" customHeight="1">
      <c r="A677" s="27"/>
      <c r="B677" s="22"/>
      <c r="C677" s="28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" customHeight="1">
      <c r="A678" s="27"/>
      <c r="B678" s="22"/>
      <c r="C678" s="28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" customHeight="1">
      <c r="A679" s="27"/>
      <c r="B679" s="22"/>
      <c r="C679" s="28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" customHeight="1">
      <c r="A680" s="27"/>
      <c r="B680" s="22"/>
      <c r="C680" s="28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" customHeight="1">
      <c r="A681" s="27"/>
      <c r="B681" s="22"/>
      <c r="C681" s="28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" customHeight="1">
      <c r="A682" s="27"/>
      <c r="B682" s="22"/>
      <c r="C682" s="28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" customHeight="1">
      <c r="A683" s="27"/>
      <c r="B683" s="22"/>
      <c r="C683" s="28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" customHeight="1">
      <c r="A684" s="27"/>
      <c r="B684" s="22"/>
      <c r="C684" s="28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" customHeight="1">
      <c r="A685" s="27"/>
      <c r="B685" s="22"/>
      <c r="C685" s="28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" customHeight="1">
      <c r="A686" s="27"/>
      <c r="B686" s="22"/>
      <c r="C686" s="28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" customHeight="1">
      <c r="A687" s="27"/>
      <c r="B687" s="22"/>
      <c r="C687" s="28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" customHeight="1">
      <c r="A688" s="27"/>
      <c r="B688" s="22"/>
      <c r="C688" s="28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" customHeight="1">
      <c r="A689" s="27"/>
      <c r="B689" s="22"/>
      <c r="C689" s="28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" customHeight="1">
      <c r="A690" s="27"/>
      <c r="B690" s="22"/>
      <c r="C690" s="28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" customHeight="1">
      <c r="A691" s="27"/>
      <c r="B691" s="22"/>
      <c r="C691" s="28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" customHeight="1">
      <c r="A692" s="27"/>
      <c r="B692" s="22"/>
      <c r="C692" s="28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" customHeight="1">
      <c r="A693" s="27"/>
      <c r="B693" s="22"/>
      <c r="C693" s="28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" customHeight="1">
      <c r="A694" s="27"/>
      <c r="B694" s="22"/>
      <c r="C694" s="28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" customHeight="1">
      <c r="A695" s="27"/>
      <c r="B695" s="22"/>
      <c r="C695" s="28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" customHeight="1">
      <c r="A696" s="27"/>
      <c r="B696" s="22"/>
      <c r="C696" s="28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" customHeight="1">
      <c r="A697" s="27"/>
      <c r="B697" s="22"/>
      <c r="C697" s="28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" customHeight="1">
      <c r="A698" s="27"/>
      <c r="B698" s="22"/>
      <c r="C698" s="28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" customHeight="1">
      <c r="A699" s="27"/>
      <c r="B699" s="22"/>
      <c r="C699" s="28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" customHeight="1">
      <c r="A700" s="27"/>
      <c r="B700" s="22"/>
      <c r="C700" s="28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" customHeight="1">
      <c r="A701" s="27"/>
      <c r="B701" s="22"/>
      <c r="C701" s="28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" customHeight="1">
      <c r="A702" s="27"/>
      <c r="B702" s="22"/>
      <c r="C702" s="28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" customHeight="1">
      <c r="A703" s="27"/>
      <c r="B703" s="22"/>
      <c r="C703" s="28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" customHeight="1">
      <c r="A704" s="27"/>
      <c r="B704" s="22"/>
      <c r="C704" s="28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" customHeight="1">
      <c r="A705" s="27"/>
      <c r="B705" s="22"/>
      <c r="C705" s="28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" customHeight="1">
      <c r="A706" s="27"/>
      <c r="B706" s="22"/>
      <c r="C706" s="28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" customHeight="1">
      <c r="A707" s="27"/>
      <c r="B707" s="22"/>
      <c r="C707" s="28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" customHeight="1">
      <c r="A708" s="27"/>
      <c r="B708" s="22"/>
      <c r="C708" s="28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" customHeight="1">
      <c r="A709" s="27"/>
      <c r="B709" s="22"/>
      <c r="C709" s="28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" customHeight="1">
      <c r="A710" s="27"/>
      <c r="B710" s="22"/>
      <c r="C710" s="28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" customHeight="1">
      <c r="A711" s="27"/>
      <c r="B711" s="22"/>
      <c r="C711" s="28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" customHeight="1">
      <c r="A712" s="27"/>
      <c r="B712" s="22"/>
      <c r="C712" s="28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" customHeight="1">
      <c r="A713" s="27"/>
      <c r="B713" s="22"/>
      <c r="C713" s="28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" customHeight="1">
      <c r="A714" s="27"/>
      <c r="B714" s="22"/>
      <c r="C714" s="28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" customHeight="1">
      <c r="A715" s="27"/>
      <c r="B715" s="22"/>
      <c r="C715" s="28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" customHeight="1">
      <c r="A716" s="27"/>
      <c r="B716" s="22"/>
      <c r="C716" s="28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" customHeight="1">
      <c r="A717" s="27"/>
      <c r="B717" s="22"/>
      <c r="C717" s="28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" customHeight="1">
      <c r="A718" s="27"/>
      <c r="B718" s="22"/>
      <c r="C718" s="28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" customHeight="1">
      <c r="A719" s="27"/>
      <c r="B719" s="22"/>
      <c r="C719" s="28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" customHeight="1">
      <c r="A720" s="27"/>
      <c r="B720" s="22"/>
      <c r="C720" s="28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" customHeight="1">
      <c r="A721" s="27"/>
      <c r="B721" s="22"/>
      <c r="C721" s="28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" customHeight="1">
      <c r="A722" s="27"/>
      <c r="B722" s="22"/>
      <c r="C722" s="28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" customHeight="1">
      <c r="A723" s="27"/>
      <c r="B723" s="22"/>
      <c r="C723" s="28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" customHeight="1">
      <c r="A724" s="27"/>
      <c r="B724" s="22"/>
      <c r="C724" s="28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" customHeight="1">
      <c r="A725" s="27"/>
      <c r="B725" s="22"/>
      <c r="C725" s="28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" customHeight="1">
      <c r="A726" s="27"/>
      <c r="B726" s="22"/>
      <c r="C726" s="28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" customHeight="1">
      <c r="A727" s="27"/>
      <c r="B727" s="22"/>
      <c r="C727" s="28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" customHeight="1">
      <c r="A728" s="27"/>
      <c r="B728" s="22"/>
      <c r="C728" s="28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" customHeight="1">
      <c r="A729" s="27"/>
      <c r="B729" s="22"/>
      <c r="C729" s="28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" customHeight="1">
      <c r="A730" s="27"/>
      <c r="B730" s="22"/>
      <c r="C730" s="28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" customHeight="1">
      <c r="A731" s="27"/>
      <c r="B731" s="22"/>
      <c r="C731" s="28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" customHeight="1">
      <c r="A732" s="27"/>
      <c r="B732" s="22"/>
      <c r="C732" s="28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" customHeight="1">
      <c r="A733" s="27"/>
      <c r="B733" s="22"/>
      <c r="C733" s="28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" customHeight="1">
      <c r="A734" s="27"/>
      <c r="B734" s="22"/>
      <c r="C734" s="28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" customHeight="1">
      <c r="A735" s="27"/>
      <c r="B735" s="22"/>
      <c r="C735" s="28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" customHeight="1">
      <c r="A736" s="27"/>
      <c r="B736" s="22"/>
      <c r="C736" s="28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" customHeight="1">
      <c r="A737" s="27"/>
      <c r="B737" s="22"/>
      <c r="C737" s="28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" customHeight="1">
      <c r="A738" s="27"/>
      <c r="B738" s="22"/>
      <c r="C738" s="28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" customHeight="1">
      <c r="A739" s="27"/>
      <c r="B739" s="22"/>
      <c r="C739" s="28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" customHeight="1">
      <c r="A740" s="27"/>
      <c r="B740" s="22"/>
      <c r="C740" s="28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" customHeight="1">
      <c r="A741" s="27"/>
      <c r="B741" s="22"/>
      <c r="C741" s="28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" customHeight="1">
      <c r="A742" s="27"/>
      <c r="B742" s="22"/>
      <c r="C742" s="28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" customHeight="1">
      <c r="A743" s="27"/>
      <c r="B743" s="22"/>
      <c r="C743" s="28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" customHeight="1">
      <c r="A744" s="27"/>
      <c r="B744" s="22"/>
      <c r="C744" s="28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" customHeight="1">
      <c r="A745" s="27"/>
      <c r="B745" s="22"/>
      <c r="C745" s="28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" customHeight="1">
      <c r="A746" s="27"/>
      <c r="B746" s="22"/>
      <c r="C746" s="28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" customHeight="1">
      <c r="A747" s="27"/>
      <c r="B747" s="22"/>
      <c r="C747" s="28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" customHeight="1">
      <c r="A748" s="27"/>
      <c r="B748" s="22"/>
      <c r="C748" s="28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" customHeight="1">
      <c r="A749" s="27"/>
      <c r="B749" s="22"/>
      <c r="C749" s="28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" customHeight="1">
      <c r="A750" s="27"/>
      <c r="B750" s="22"/>
      <c r="C750" s="28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" customHeight="1">
      <c r="A751" s="27"/>
      <c r="B751" s="22"/>
      <c r="C751" s="28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" customHeight="1">
      <c r="A752" s="27"/>
      <c r="B752" s="22"/>
      <c r="C752" s="28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" customHeight="1">
      <c r="A753" s="27"/>
      <c r="B753" s="22"/>
      <c r="C753" s="28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" customHeight="1">
      <c r="A754" s="27"/>
      <c r="B754" s="22"/>
      <c r="C754" s="28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" customHeight="1">
      <c r="A755" s="27"/>
      <c r="B755" s="22"/>
      <c r="C755" s="28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" customHeight="1">
      <c r="A756" s="27"/>
      <c r="B756" s="22"/>
      <c r="C756" s="28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" customHeight="1">
      <c r="A757" s="27"/>
      <c r="B757" s="22"/>
      <c r="C757" s="28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" customHeight="1">
      <c r="A758" s="27"/>
      <c r="B758" s="22"/>
      <c r="C758" s="28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" customHeight="1">
      <c r="A759" s="27"/>
      <c r="B759" s="22"/>
      <c r="C759" s="28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" customHeight="1">
      <c r="A760" s="27"/>
      <c r="B760" s="22"/>
      <c r="C760" s="28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" customHeight="1">
      <c r="A761" s="27"/>
      <c r="B761" s="22"/>
      <c r="C761" s="28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" customHeight="1">
      <c r="A762" s="27"/>
      <c r="B762" s="22"/>
      <c r="C762" s="28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" customHeight="1">
      <c r="A763" s="27"/>
      <c r="B763" s="22"/>
      <c r="C763" s="28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" customHeight="1">
      <c r="A764" s="27"/>
      <c r="B764" s="22"/>
      <c r="C764" s="28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" customHeight="1">
      <c r="A765" s="27"/>
      <c r="B765" s="22"/>
      <c r="C765" s="28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" customHeight="1">
      <c r="A766" s="27"/>
      <c r="B766" s="22"/>
      <c r="C766" s="28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" customHeight="1">
      <c r="A767" s="27"/>
      <c r="B767" s="22"/>
      <c r="C767" s="28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" customHeight="1">
      <c r="A768" s="27"/>
      <c r="B768" s="22"/>
      <c r="C768" s="28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" customHeight="1">
      <c r="A769" s="27"/>
      <c r="B769" s="22"/>
      <c r="C769" s="28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" customHeight="1">
      <c r="A770" s="27"/>
      <c r="B770" s="22"/>
      <c r="C770" s="28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" customHeight="1">
      <c r="A771" s="27"/>
      <c r="B771" s="22"/>
      <c r="C771" s="28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" customHeight="1">
      <c r="A772" s="27"/>
      <c r="B772" s="22"/>
      <c r="C772" s="28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" customHeight="1">
      <c r="A773" s="27"/>
      <c r="B773" s="22"/>
      <c r="C773" s="28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" customHeight="1">
      <c r="A774" s="27"/>
      <c r="B774" s="22"/>
      <c r="C774" s="28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" customHeight="1">
      <c r="A775" s="27"/>
      <c r="B775" s="22"/>
      <c r="C775" s="28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" customHeight="1">
      <c r="A776" s="27"/>
      <c r="B776" s="22"/>
      <c r="C776" s="28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" customHeight="1">
      <c r="A777" s="27"/>
      <c r="B777" s="22"/>
      <c r="C777" s="28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" customHeight="1">
      <c r="A778" s="27"/>
      <c r="B778" s="22"/>
      <c r="C778" s="28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" customHeight="1">
      <c r="A779" s="27"/>
      <c r="B779" s="22"/>
      <c r="C779" s="28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" customHeight="1">
      <c r="A780" s="27"/>
      <c r="B780" s="22"/>
      <c r="C780" s="28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" customHeight="1">
      <c r="A781" s="27"/>
      <c r="B781" s="22"/>
      <c r="C781" s="28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" customHeight="1">
      <c r="A782" s="27"/>
      <c r="B782" s="22"/>
      <c r="C782" s="28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" customHeight="1">
      <c r="A783" s="27"/>
      <c r="B783" s="22"/>
      <c r="C783" s="28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" customHeight="1">
      <c r="A784" s="27"/>
      <c r="B784" s="22"/>
      <c r="C784" s="28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" customHeight="1">
      <c r="A785" s="27"/>
      <c r="B785" s="22"/>
      <c r="C785" s="28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" customHeight="1">
      <c r="A786" s="27"/>
      <c r="B786" s="22"/>
      <c r="C786" s="28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" customHeight="1">
      <c r="A787" s="27"/>
      <c r="B787" s="22"/>
      <c r="C787" s="28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" customHeight="1">
      <c r="A788" s="27"/>
      <c r="B788" s="22"/>
      <c r="C788" s="28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" customHeight="1">
      <c r="A789" s="27"/>
      <c r="B789" s="22"/>
      <c r="C789" s="28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" customHeight="1">
      <c r="A790" s="27"/>
      <c r="B790" s="22"/>
      <c r="C790" s="28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" customHeight="1">
      <c r="A791" s="27"/>
      <c r="B791" s="22"/>
      <c r="C791" s="28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" customHeight="1">
      <c r="A792" s="27"/>
      <c r="B792" s="22"/>
      <c r="C792" s="28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" customHeight="1">
      <c r="A793" s="27"/>
      <c r="B793" s="22"/>
      <c r="C793" s="28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" customHeight="1">
      <c r="A794" s="27"/>
      <c r="B794" s="22"/>
      <c r="C794" s="28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" customHeight="1">
      <c r="A795" s="27"/>
      <c r="B795" s="22"/>
      <c r="C795" s="28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" customHeight="1">
      <c r="A796" s="27"/>
      <c r="B796" s="22"/>
      <c r="C796" s="28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" customHeight="1">
      <c r="A797" s="27"/>
      <c r="B797" s="22"/>
      <c r="C797" s="28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" customHeight="1">
      <c r="A798" s="27"/>
      <c r="B798" s="22"/>
      <c r="C798" s="28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" customHeight="1">
      <c r="A799" s="27"/>
      <c r="B799" s="22"/>
      <c r="C799" s="28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" customHeight="1">
      <c r="A800" s="27"/>
      <c r="B800" s="22"/>
      <c r="C800" s="28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" customHeight="1">
      <c r="A801" s="27"/>
      <c r="B801" s="22"/>
      <c r="C801" s="28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" customHeight="1">
      <c r="A802" s="27"/>
      <c r="B802" s="22"/>
      <c r="C802" s="28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" customHeight="1">
      <c r="A803" s="27"/>
      <c r="B803" s="22"/>
      <c r="C803" s="28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" customHeight="1">
      <c r="A804" s="27"/>
      <c r="B804" s="22"/>
      <c r="C804" s="28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" customHeight="1">
      <c r="A805" s="27"/>
      <c r="B805" s="22"/>
      <c r="C805" s="28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" customHeight="1">
      <c r="A806" s="27"/>
      <c r="B806" s="22"/>
      <c r="C806" s="28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" customHeight="1">
      <c r="A807" s="27"/>
      <c r="B807" s="22"/>
      <c r="C807" s="28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" customHeight="1">
      <c r="A808" s="27"/>
      <c r="B808" s="22"/>
      <c r="C808" s="28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" customHeight="1">
      <c r="A809" s="27"/>
      <c r="B809" s="22"/>
      <c r="C809" s="28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" customHeight="1">
      <c r="A810" s="27"/>
      <c r="B810" s="22"/>
      <c r="C810" s="28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" customHeight="1">
      <c r="A811" s="27"/>
      <c r="B811" s="22"/>
      <c r="C811" s="28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" customHeight="1">
      <c r="A812" s="27"/>
      <c r="B812" s="22"/>
      <c r="C812" s="28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" customHeight="1">
      <c r="A813" s="27"/>
      <c r="B813" s="22"/>
      <c r="C813" s="28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" customHeight="1">
      <c r="A814" s="27"/>
      <c r="B814" s="22"/>
      <c r="C814" s="28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" customHeight="1">
      <c r="A815" s="27"/>
      <c r="B815" s="22"/>
      <c r="C815" s="28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" customHeight="1">
      <c r="A816" s="27"/>
      <c r="B816" s="22"/>
      <c r="C816" s="28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" customHeight="1">
      <c r="A817" s="27"/>
      <c r="B817" s="22"/>
      <c r="C817" s="28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" customHeight="1">
      <c r="A818" s="27"/>
      <c r="B818" s="22"/>
      <c r="C818" s="28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" customHeight="1">
      <c r="A819" s="27"/>
      <c r="B819" s="22"/>
      <c r="C819" s="28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" customHeight="1">
      <c r="A820" s="27"/>
      <c r="B820" s="22"/>
      <c r="C820" s="28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" customHeight="1">
      <c r="A821" s="27"/>
      <c r="B821" s="22"/>
      <c r="C821" s="28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" customHeight="1">
      <c r="A822" s="27"/>
      <c r="B822" s="22"/>
      <c r="C822" s="28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" customHeight="1">
      <c r="A823" s="27"/>
      <c r="B823" s="22"/>
      <c r="C823" s="28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" customHeight="1">
      <c r="A824" s="27"/>
      <c r="B824" s="22"/>
      <c r="C824" s="28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" customHeight="1">
      <c r="A825" s="27"/>
      <c r="B825" s="22"/>
      <c r="C825" s="28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" customHeight="1">
      <c r="A826" s="27"/>
      <c r="B826" s="22"/>
      <c r="C826" s="28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" customHeight="1">
      <c r="A827" s="27"/>
      <c r="B827" s="22"/>
      <c r="C827" s="28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" customHeight="1">
      <c r="A828" s="27"/>
      <c r="B828" s="22"/>
      <c r="C828" s="28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" customHeight="1">
      <c r="A829" s="27"/>
      <c r="B829" s="22"/>
      <c r="C829" s="28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" customHeight="1">
      <c r="A830" s="27"/>
      <c r="B830" s="22"/>
      <c r="C830" s="28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" customHeight="1">
      <c r="A831" s="27"/>
      <c r="B831" s="22"/>
      <c r="C831" s="28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" customHeight="1">
      <c r="A832" s="27"/>
      <c r="B832" s="22"/>
      <c r="C832" s="28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" customHeight="1">
      <c r="A833" s="27"/>
      <c r="B833" s="22"/>
      <c r="C833" s="28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" customHeight="1">
      <c r="A834" s="27"/>
      <c r="B834" s="22"/>
      <c r="C834" s="28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" customHeight="1">
      <c r="A835" s="27"/>
      <c r="B835" s="22"/>
      <c r="C835" s="28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" customHeight="1">
      <c r="A836" s="27"/>
      <c r="B836" s="22"/>
      <c r="C836" s="28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" customHeight="1">
      <c r="A837" s="27"/>
      <c r="B837" s="22"/>
      <c r="C837" s="28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" customHeight="1">
      <c r="A838" s="27"/>
      <c r="B838" s="22"/>
      <c r="C838" s="28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" customHeight="1">
      <c r="A839" s="27"/>
      <c r="B839" s="22"/>
      <c r="C839" s="28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" customHeight="1">
      <c r="A840" s="27"/>
      <c r="B840" s="22"/>
      <c r="C840" s="28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" customHeight="1">
      <c r="A841" s="27"/>
      <c r="B841" s="22"/>
      <c r="C841" s="28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" customHeight="1">
      <c r="A842" s="27"/>
      <c r="B842" s="22"/>
      <c r="C842" s="28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" customHeight="1">
      <c r="A843" s="27"/>
      <c r="B843" s="22"/>
      <c r="C843" s="28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" customHeight="1">
      <c r="A844" s="27"/>
      <c r="B844" s="22"/>
      <c r="C844" s="28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" customHeight="1">
      <c r="A845" s="27"/>
      <c r="B845" s="22"/>
      <c r="C845" s="28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" customHeight="1">
      <c r="A846" s="27"/>
      <c r="B846" s="22"/>
      <c r="C846" s="28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" customHeight="1">
      <c r="A847" s="27"/>
      <c r="B847" s="22"/>
      <c r="C847" s="28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" customHeight="1">
      <c r="A848" s="27"/>
      <c r="B848" s="22"/>
      <c r="C848" s="28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" customHeight="1">
      <c r="A849" s="27"/>
      <c r="B849" s="22"/>
      <c r="C849" s="28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" customHeight="1">
      <c r="A850" s="27"/>
      <c r="B850" s="22"/>
      <c r="C850" s="28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" customHeight="1">
      <c r="A851" s="27"/>
      <c r="B851" s="22"/>
      <c r="C851" s="28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" customHeight="1">
      <c r="A852" s="27"/>
      <c r="B852" s="22"/>
      <c r="C852" s="28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" customHeight="1">
      <c r="A853" s="27"/>
      <c r="B853" s="22"/>
      <c r="C853" s="28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" customHeight="1">
      <c r="A854" s="27"/>
      <c r="B854" s="22"/>
      <c r="C854" s="28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" customHeight="1">
      <c r="A855" s="27"/>
      <c r="B855" s="22"/>
      <c r="C855" s="28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" customHeight="1">
      <c r="A856" s="27"/>
      <c r="B856" s="22"/>
      <c r="C856" s="28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" customHeight="1">
      <c r="A857" s="27"/>
      <c r="B857" s="22"/>
      <c r="C857" s="28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" customHeight="1">
      <c r="A858" s="27"/>
      <c r="B858" s="22"/>
      <c r="C858" s="28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" customHeight="1">
      <c r="A859" s="27"/>
      <c r="B859" s="22"/>
      <c r="C859" s="28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" customHeight="1">
      <c r="A860" s="27"/>
      <c r="B860" s="22"/>
      <c r="C860" s="28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" customHeight="1">
      <c r="A861" s="27"/>
      <c r="B861" s="22"/>
      <c r="C861" s="28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" customHeight="1">
      <c r="A862" s="27"/>
      <c r="B862" s="22"/>
      <c r="C862" s="28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" customHeight="1">
      <c r="A863" s="27"/>
      <c r="B863" s="22"/>
      <c r="C863" s="28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" customHeight="1">
      <c r="A864" s="27"/>
      <c r="B864" s="22"/>
      <c r="C864" s="28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" customHeight="1">
      <c r="A865" s="27"/>
      <c r="B865" s="22"/>
      <c r="C865" s="28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" customHeight="1">
      <c r="A866" s="27"/>
      <c r="B866" s="22"/>
      <c r="C866" s="28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" customHeight="1">
      <c r="A867" s="27"/>
      <c r="B867" s="22"/>
      <c r="C867" s="28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" customHeight="1">
      <c r="A868" s="27"/>
      <c r="B868" s="22"/>
      <c r="C868" s="28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" customHeight="1">
      <c r="A869" s="27"/>
      <c r="B869" s="22"/>
      <c r="C869" s="28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" customHeight="1">
      <c r="A870" s="27"/>
      <c r="B870" s="22"/>
      <c r="C870" s="28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" customHeight="1">
      <c r="A871" s="27"/>
      <c r="B871" s="22"/>
      <c r="C871" s="28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" customHeight="1">
      <c r="A872" s="27"/>
      <c r="B872" s="22"/>
      <c r="C872" s="28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" customHeight="1">
      <c r="A873" s="27"/>
      <c r="B873" s="22"/>
      <c r="C873" s="28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" customHeight="1">
      <c r="A874" s="27"/>
      <c r="B874" s="22"/>
      <c r="C874" s="28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" customHeight="1">
      <c r="A875" s="27"/>
      <c r="B875" s="22"/>
      <c r="C875" s="28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" customHeight="1">
      <c r="A876" s="27"/>
      <c r="B876" s="22"/>
      <c r="C876" s="28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" customHeight="1">
      <c r="A877" s="27"/>
      <c r="B877" s="22"/>
      <c r="C877" s="28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" customHeight="1">
      <c r="A878" s="27"/>
      <c r="B878" s="22"/>
      <c r="C878" s="28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" customHeight="1">
      <c r="A879" s="27"/>
      <c r="B879" s="22"/>
      <c r="C879" s="28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" customHeight="1">
      <c r="A880" s="27"/>
      <c r="B880" s="22"/>
      <c r="C880" s="28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" customHeight="1">
      <c r="A881" s="27"/>
      <c r="B881" s="22"/>
      <c r="C881" s="28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" customHeight="1">
      <c r="A882" s="27"/>
      <c r="B882" s="22"/>
      <c r="C882" s="28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" customHeight="1">
      <c r="A883" s="27"/>
      <c r="B883" s="22"/>
      <c r="C883" s="28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" customHeight="1">
      <c r="A884" s="27"/>
      <c r="B884" s="22"/>
      <c r="C884" s="28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" customHeight="1">
      <c r="A885" s="27"/>
      <c r="B885" s="22"/>
      <c r="C885" s="28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" customHeight="1">
      <c r="A886" s="27"/>
      <c r="B886" s="22"/>
      <c r="C886" s="28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" customHeight="1">
      <c r="A887" s="27"/>
      <c r="B887" s="22"/>
      <c r="C887" s="28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" customHeight="1">
      <c r="A888" s="27"/>
      <c r="B888" s="22"/>
      <c r="C888" s="28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" customHeight="1">
      <c r="A889" s="27"/>
      <c r="B889" s="22"/>
      <c r="C889" s="28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" customHeight="1">
      <c r="A890" s="27"/>
      <c r="B890" s="22"/>
      <c r="C890" s="28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" customHeight="1">
      <c r="A891" s="27"/>
      <c r="B891" s="22"/>
      <c r="C891" s="28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" customHeight="1">
      <c r="A892" s="27"/>
      <c r="B892" s="22"/>
      <c r="C892" s="28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" customHeight="1">
      <c r="A893" s="27"/>
      <c r="B893" s="22"/>
      <c r="C893" s="28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" customHeight="1">
      <c r="A894" s="27"/>
      <c r="B894" s="22"/>
      <c r="C894" s="28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" customHeight="1">
      <c r="A895" s="27"/>
      <c r="B895" s="22"/>
      <c r="C895" s="28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" customHeight="1">
      <c r="A896" s="27"/>
      <c r="B896" s="22"/>
      <c r="C896" s="28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" customHeight="1">
      <c r="A897" s="27"/>
      <c r="B897" s="22"/>
      <c r="C897" s="28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" customHeight="1">
      <c r="A898" s="27"/>
      <c r="B898" s="22"/>
      <c r="C898" s="28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" customHeight="1">
      <c r="A899" s="27"/>
      <c r="B899" s="22"/>
      <c r="C899" s="28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" customHeight="1">
      <c r="A900" s="27"/>
      <c r="B900" s="22"/>
      <c r="C900" s="28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" customHeight="1">
      <c r="A901" s="27"/>
      <c r="B901" s="22"/>
      <c r="C901" s="28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" customHeight="1">
      <c r="A902" s="27"/>
      <c r="B902" s="22"/>
      <c r="C902" s="28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" customHeight="1">
      <c r="A903" s="27"/>
      <c r="B903" s="22"/>
      <c r="C903" s="28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" customHeight="1">
      <c r="A904" s="27"/>
      <c r="B904" s="22"/>
      <c r="C904" s="28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" customHeight="1">
      <c r="A905" s="27"/>
      <c r="B905" s="22"/>
      <c r="C905" s="28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" customHeight="1">
      <c r="A906" s="27"/>
      <c r="B906" s="22"/>
      <c r="C906" s="28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" customHeight="1">
      <c r="A907" s="27"/>
      <c r="B907" s="22"/>
      <c r="C907" s="28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" customHeight="1">
      <c r="A908" s="27"/>
      <c r="B908" s="22"/>
      <c r="C908" s="28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" customHeight="1">
      <c r="A909" s="27"/>
      <c r="B909" s="22"/>
      <c r="C909" s="28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" customHeight="1">
      <c r="A910" s="27"/>
      <c r="B910" s="22"/>
      <c r="C910" s="28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" customHeight="1">
      <c r="A911" s="27"/>
      <c r="B911" s="22"/>
      <c r="C911" s="28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" customHeight="1">
      <c r="A912" s="27"/>
      <c r="B912" s="22"/>
      <c r="C912" s="28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" customHeight="1">
      <c r="A913" s="27"/>
      <c r="B913" s="22"/>
      <c r="C913" s="28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" customHeight="1">
      <c r="A914" s="27"/>
      <c r="B914" s="22"/>
      <c r="C914" s="28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" customHeight="1">
      <c r="A915" s="27"/>
      <c r="B915" s="22"/>
      <c r="C915" s="28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" customHeight="1">
      <c r="A916" s="27"/>
      <c r="B916" s="22"/>
      <c r="C916" s="28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" customHeight="1">
      <c r="A917" s="27"/>
      <c r="B917" s="22"/>
      <c r="C917" s="28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" customHeight="1">
      <c r="A918" s="27"/>
      <c r="B918" s="22"/>
      <c r="C918" s="28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" customHeight="1">
      <c r="A919" s="27"/>
      <c r="B919" s="22"/>
      <c r="C919" s="28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" customHeight="1">
      <c r="A920" s="27"/>
      <c r="B920" s="22"/>
      <c r="C920" s="28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" customHeight="1">
      <c r="A921" s="27"/>
      <c r="B921" s="22"/>
      <c r="C921" s="28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" customHeight="1">
      <c r="A922" s="27"/>
      <c r="B922" s="22"/>
      <c r="C922" s="28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" customHeight="1">
      <c r="A923" s="27"/>
      <c r="B923" s="22"/>
      <c r="C923" s="28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" customHeight="1">
      <c r="A924" s="27"/>
      <c r="B924" s="22"/>
      <c r="C924" s="28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" customHeight="1">
      <c r="A925" s="27"/>
      <c r="B925" s="22"/>
      <c r="C925" s="28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" customHeight="1">
      <c r="A926" s="27"/>
      <c r="B926" s="22"/>
      <c r="C926" s="28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" customHeight="1">
      <c r="A927" s="27"/>
      <c r="B927" s="22"/>
      <c r="C927" s="28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" customHeight="1">
      <c r="A928" s="27"/>
      <c r="B928" s="22"/>
      <c r="C928" s="28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" customHeight="1">
      <c r="A929" s="27"/>
      <c r="B929" s="22"/>
      <c r="C929" s="28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" customHeight="1">
      <c r="A930" s="27"/>
      <c r="B930" s="22"/>
      <c r="C930" s="28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" customHeight="1">
      <c r="A931" s="27"/>
      <c r="B931" s="22"/>
      <c r="C931" s="28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" customHeight="1">
      <c r="A932" s="27"/>
      <c r="B932" s="22"/>
      <c r="C932" s="28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" customHeight="1">
      <c r="A933" s="27"/>
      <c r="B933" s="22"/>
      <c r="C933" s="28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" customHeight="1">
      <c r="A934" s="27"/>
      <c r="B934" s="22"/>
      <c r="C934" s="28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" customHeight="1">
      <c r="A935" s="27"/>
      <c r="B935" s="22"/>
      <c r="C935" s="28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" customHeight="1">
      <c r="A936" s="27"/>
      <c r="B936" s="22"/>
      <c r="C936" s="28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" customHeight="1">
      <c r="A937" s="27"/>
      <c r="B937" s="22"/>
      <c r="C937" s="28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" customHeight="1">
      <c r="A938" s="27"/>
      <c r="B938" s="22"/>
      <c r="C938" s="28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" customHeight="1">
      <c r="A939" s="27"/>
      <c r="B939" s="22"/>
      <c r="C939" s="28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" customHeight="1">
      <c r="A940" s="27"/>
      <c r="B940" s="22"/>
      <c r="C940" s="28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" customHeight="1">
      <c r="A941" s="27"/>
      <c r="B941" s="22"/>
      <c r="C941" s="28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" customHeight="1">
      <c r="A942" s="27"/>
      <c r="B942" s="22"/>
      <c r="C942" s="28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" customHeight="1">
      <c r="A943" s="27"/>
      <c r="B943" s="22"/>
      <c r="C943" s="28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" customHeight="1">
      <c r="A944" s="27"/>
      <c r="B944" s="22"/>
      <c r="C944" s="28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" customHeight="1">
      <c r="A945" s="27"/>
      <c r="B945" s="22"/>
      <c r="C945" s="28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" customHeight="1">
      <c r="A946" s="27"/>
      <c r="B946" s="22"/>
      <c r="C946" s="28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" customHeight="1">
      <c r="A947" s="27"/>
      <c r="B947" s="22"/>
      <c r="C947" s="28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" customHeight="1">
      <c r="A948" s="27"/>
      <c r="B948" s="22"/>
      <c r="C948" s="28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" customHeight="1">
      <c r="A949" s="27"/>
      <c r="B949" s="22"/>
      <c r="C949" s="28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" customHeight="1">
      <c r="A950" s="27"/>
      <c r="B950" s="22"/>
      <c r="C950" s="28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" customHeight="1">
      <c r="A951" s="27"/>
      <c r="B951" s="22"/>
      <c r="C951" s="28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" customHeight="1">
      <c r="A952" s="27"/>
      <c r="B952" s="22"/>
      <c r="C952" s="28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" customHeight="1">
      <c r="A953" s="27"/>
      <c r="B953" s="22"/>
      <c r="C953" s="28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" customHeight="1">
      <c r="A954" s="27"/>
      <c r="B954" s="22"/>
      <c r="C954" s="28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" customHeight="1">
      <c r="A955" s="27"/>
      <c r="B955" s="22"/>
      <c r="C955" s="28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" customHeight="1">
      <c r="A956" s="27"/>
      <c r="B956" s="22"/>
      <c r="C956" s="28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" customHeight="1">
      <c r="A957" s="27"/>
      <c r="B957" s="22"/>
      <c r="C957" s="28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" customHeight="1">
      <c r="A958" s="27"/>
      <c r="B958" s="22"/>
      <c r="C958" s="28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" customHeight="1">
      <c r="A959" s="27"/>
      <c r="B959" s="22"/>
      <c r="C959" s="28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" customHeight="1">
      <c r="A960" s="27"/>
      <c r="B960" s="22"/>
      <c r="C960" s="28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" customHeight="1">
      <c r="A961" s="27"/>
      <c r="B961" s="22"/>
      <c r="C961" s="28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" customHeight="1">
      <c r="A962" s="27"/>
      <c r="B962" s="22"/>
      <c r="C962" s="28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" customHeight="1">
      <c r="A963" s="27"/>
      <c r="B963" s="22"/>
      <c r="C963" s="28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" customHeight="1">
      <c r="A964" s="27"/>
      <c r="B964" s="22"/>
      <c r="C964" s="28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" customHeight="1">
      <c r="A965" s="27"/>
      <c r="B965" s="22"/>
      <c r="C965" s="28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" customHeight="1">
      <c r="A966" s="27"/>
      <c r="B966" s="22"/>
      <c r="C966" s="28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" customHeight="1">
      <c r="A967" s="27"/>
      <c r="B967" s="22"/>
      <c r="C967" s="28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" customHeight="1">
      <c r="A968" s="27"/>
      <c r="B968" s="22"/>
      <c r="C968" s="28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" customHeight="1">
      <c r="A969" s="27"/>
      <c r="B969" s="22"/>
      <c r="C969" s="28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" customHeight="1">
      <c r="A970" s="27"/>
      <c r="B970" s="22"/>
      <c r="C970" s="28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" customHeight="1">
      <c r="A971" s="27"/>
      <c r="B971" s="22"/>
      <c r="C971" s="28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" customHeight="1">
      <c r="A972" s="27"/>
      <c r="B972" s="22"/>
      <c r="C972" s="28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" customHeight="1">
      <c r="A973" s="27"/>
      <c r="B973" s="22"/>
      <c r="C973" s="28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" customHeight="1">
      <c r="A974" s="27"/>
      <c r="B974" s="22"/>
      <c r="C974" s="28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" customHeight="1">
      <c r="A975" s="27"/>
      <c r="B975" s="22"/>
      <c r="C975" s="28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" customHeight="1">
      <c r="A976" s="27"/>
      <c r="B976" s="22"/>
      <c r="C976" s="28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" customHeight="1">
      <c r="A977" s="27"/>
      <c r="B977" s="22"/>
      <c r="C977" s="28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" customHeight="1">
      <c r="A978" s="27"/>
      <c r="B978" s="22"/>
      <c r="C978" s="28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" customHeight="1">
      <c r="A979" s="27"/>
      <c r="B979" s="22"/>
      <c r="C979" s="28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" customHeight="1">
      <c r="A980" s="27"/>
      <c r="B980" s="22"/>
      <c r="C980" s="28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" customHeight="1">
      <c r="A981" s="27"/>
      <c r="B981" s="22"/>
      <c r="C981" s="28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" customHeight="1">
      <c r="A982" s="27"/>
      <c r="B982" s="22"/>
      <c r="C982" s="28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" customHeight="1">
      <c r="A983" s="27"/>
      <c r="B983" s="22"/>
      <c r="C983" s="28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" customHeight="1">
      <c r="A984" s="27"/>
      <c r="B984" s="22"/>
      <c r="C984" s="28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" customHeight="1">
      <c r="A985" s="27"/>
      <c r="B985" s="22"/>
      <c r="C985" s="28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" customHeight="1">
      <c r="A986" s="27"/>
      <c r="B986" s="22"/>
      <c r="C986" s="28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" customHeight="1">
      <c r="A987" s="27"/>
      <c r="B987" s="22"/>
      <c r="C987" s="28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" customHeight="1">
      <c r="A988" s="27"/>
      <c r="B988" s="22"/>
      <c r="C988" s="28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" customHeight="1">
      <c r="A989" s="27"/>
      <c r="B989" s="22"/>
      <c r="C989" s="28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" customHeight="1">
      <c r="A990" s="27"/>
      <c r="B990" s="22"/>
      <c r="C990" s="28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" customHeight="1">
      <c r="A991" s="27"/>
      <c r="B991" s="22"/>
      <c r="C991" s="28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" customHeight="1">
      <c r="A992" s="27"/>
      <c r="B992" s="22"/>
      <c r="C992" s="28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" customHeight="1">
      <c r="A993" s="27"/>
      <c r="B993" s="22"/>
      <c r="C993" s="28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" customHeight="1">
      <c r="A994" s="27"/>
      <c r="B994" s="22"/>
      <c r="C994" s="28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" customHeight="1">
      <c r="A995" s="27"/>
      <c r="B995" s="22"/>
      <c r="C995" s="28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" customHeight="1">
      <c r="A996" s="27"/>
      <c r="B996" s="22"/>
      <c r="C996" s="28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" customHeight="1">
      <c r="A997" s="27"/>
      <c r="B997" s="22"/>
      <c r="C997" s="28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" customHeight="1">
      <c r="A998" s="27"/>
      <c r="B998" s="22"/>
      <c r="C998" s="28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" customHeight="1">
      <c r="A999" s="27"/>
      <c r="B999" s="22"/>
      <c r="C999" s="28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" customHeight="1">
      <c r="A1000" s="26"/>
      <c r="B1000" s="26"/>
      <c r="C1000" s="29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" customHeight="1">
      <c r="A1001" s="26"/>
      <c r="B1001" s="26"/>
      <c r="C1001" s="29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5" customHeight="1">
      <c r="A1002" s="26"/>
      <c r="B1002" s="26"/>
      <c r="C1002" s="29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5" customHeight="1">
      <c r="A1003" s="26"/>
      <c r="B1003" s="26"/>
      <c r="C1003" s="29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15" customHeight="1">
      <c r="A1004" s="26"/>
      <c r="B1004" s="26"/>
      <c r="C1004" s="2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15" customHeight="1">
      <c r="A1005" s="26"/>
      <c r="B1005" s="26"/>
      <c r="C1005" s="29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15" customHeight="1">
      <c r="A1006" s="26"/>
      <c r="B1006" s="26"/>
      <c r="C1006" s="29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</sheetData>
  <printOptions horizontalCentered="1" gridLines="1"/>
  <pageMargins left="0.25" right="0.25" top="0.39370078740157477" bottom="0.39370078740157477" header="0" footer="0"/>
  <pageSetup paperSize="9"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99"/>
  <sheetViews>
    <sheetView workbookViewId="0"/>
  </sheetViews>
  <sheetFormatPr defaultColWidth="12.61328125" defaultRowHeight="15" customHeight="1"/>
  <cols>
    <col min="1" max="1" width="16" customWidth="1"/>
    <col min="2" max="2" width="51.3828125" customWidth="1"/>
    <col min="3" max="3" width="8.765625" customWidth="1"/>
  </cols>
  <sheetData>
    <row r="1" spans="1:26" ht="15" customHeight="1">
      <c r="A1" s="19" t="s">
        <v>4</v>
      </c>
      <c r="B1" s="11" t="s">
        <v>42</v>
      </c>
      <c r="C1" s="19" t="s">
        <v>6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" customHeight="1">
      <c r="A2" s="13">
        <v>1</v>
      </c>
      <c r="B2" s="14" t="s">
        <v>32</v>
      </c>
      <c r="C2" s="15">
        <v>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" customHeight="1">
      <c r="A3" s="17"/>
      <c r="B3" s="14" t="s">
        <v>43</v>
      </c>
      <c r="C3" s="15">
        <v>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customHeight="1">
      <c r="A4" s="17"/>
      <c r="B4" s="14" t="s">
        <v>35</v>
      </c>
      <c r="C4" s="15">
        <v>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customHeight="1">
      <c r="A5" s="17"/>
      <c r="B5" s="17" t="s">
        <v>30</v>
      </c>
      <c r="C5" s="18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>
      <c r="A6" s="17"/>
      <c r="B6" s="17"/>
      <c r="C6" s="1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customHeight="1">
      <c r="A7" s="13">
        <v>2</v>
      </c>
      <c r="B7" s="14" t="s">
        <v>44</v>
      </c>
      <c r="C7" s="15">
        <v>5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customHeight="1">
      <c r="A8" s="17"/>
      <c r="B8" s="14" t="s">
        <v>45</v>
      </c>
      <c r="C8" s="15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customHeight="1">
      <c r="A9" s="17"/>
      <c r="B9" s="14" t="s">
        <v>46</v>
      </c>
      <c r="C9" s="15">
        <v>3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" customHeight="1">
      <c r="A10" s="17"/>
      <c r="B10" s="17" t="s">
        <v>47</v>
      </c>
      <c r="C10" s="18">
        <v>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>
      <c r="A11" s="17"/>
      <c r="B11" s="17" t="s">
        <v>48</v>
      </c>
      <c r="C11" s="18">
        <v>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" customHeight="1">
      <c r="A12" s="13"/>
      <c r="B12" s="14" t="s">
        <v>35</v>
      </c>
      <c r="C12" s="15">
        <v>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customHeight="1">
      <c r="A13" s="17"/>
      <c r="B13" s="14"/>
      <c r="C13" s="1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" customHeight="1">
      <c r="A14" s="17"/>
      <c r="B14" s="17"/>
      <c r="C14" s="1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" customHeight="1">
      <c r="A15" s="17">
        <v>3</v>
      </c>
      <c r="B15" s="17" t="s">
        <v>24</v>
      </c>
      <c r="C15" s="18">
        <v>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" customHeight="1">
      <c r="A16" s="13"/>
      <c r="B16" s="14" t="s">
        <v>49</v>
      </c>
      <c r="C16" s="15">
        <v>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customHeight="1">
      <c r="A17" s="17"/>
      <c r="B17" s="14" t="s">
        <v>50</v>
      </c>
      <c r="C17" s="15">
        <v>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>
      <c r="A18" s="17"/>
      <c r="B18" s="14" t="s">
        <v>30</v>
      </c>
      <c r="C18" s="15">
        <v>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" customHeight="1">
      <c r="A19" s="17"/>
      <c r="B19" s="14"/>
      <c r="C19" s="15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" customHeight="1">
      <c r="A20" s="17">
        <v>4</v>
      </c>
      <c r="B20" s="17" t="s">
        <v>24</v>
      </c>
      <c r="C20" s="18">
        <v>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" customHeight="1">
      <c r="A21" s="17"/>
      <c r="B21" s="17" t="s">
        <v>49</v>
      </c>
      <c r="C21" s="18">
        <v>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" customHeight="1">
      <c r="A22" s="13"/>
      <c r="B22" s="14" t="s">
        <v>35</v>
      </c>
      <c r="C22" s="15">
        <v>2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" customHeight="1">
      <c r="A23" s="17"/>
      <c r="B23" s="14" t="s">
        <v>30</v>
      </c>
      <c r="C23" s="15">
        <v>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" customHeight="1">
      <c r="A24" s="17"/>
      <c r="B24" s="14"/>
      <c r="C24" s="15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" customHeight="1">
      <c r="A25" s="17">
        <v>5</v>
      </c>
      <c r="B25" s="17" t="s">
        <v>24</v>
      </c>
      <c r="C25" s="18">
        <v>5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" customHeight="1">
      <c r="A26" s="17"/>
      <c r="B26" s="17" t="s">
        <v>51</v>
      </c>
      <c r="C26" s="18">
        <v>4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" customHeight="1">
      <c r="A27" s="13"/>
      <c r="B27" s="14" t="s">
        <v>52</v>
      </c>
      <c r="C27" s="15">
        <v>3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" customHeight="1">
      <c r="A28" s="17"/>
      <c r="B28" s="14" t="s">
        <v>35</v>
      </c>
      <c r="C28" s="15">
        <v>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" customHeight="1">
      <c r="A29" s="17"/>
      <c r="B29" s="14" t="s">
        <v>38</v>
      </c>
      <c r="C29" s="15">
        <v>1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" customHeight="1">
      <c r="A30" s="17"/>
      <c r="B30" s="17" t="s">
        <v>30</v>
      </c>
      <c r="C30" s="18">
        <v>0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" customHeight="1">
      <c r="A31" s="17"/>
      <c r="B31" s="17"/>
      <c r="C31" s="18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" customHeight="1">
      <c r="A32" s="13">
        <v>6</v>
      </c>
      <c r="B32" s="14" t="s">
        <v>24</v>
      </c>
      <c r="C32" s="15">
        <v>8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" customHeight="1">
      <c r="A33" s="17"/>
      <c r="B33" s="14" t="s">
        <v>53</v>
      </c>
      <c r="C33" s="15">
        <v>7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" customHeight="1">
      <c r="A34" s="17"/>
      <c r="B34" s="17" t="s">
        <v>54</v>
      </c>
      <c r="C34" s="18">
        <v>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" customHeight="1">
      <c r="A35" s="17"/>
      <c r="B35" s="17" t="s">
        <v>55</v>
      </c>
      <c r="C35" s="18">
        <v>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" customHeight="1">
      <c r="A36" s="13"/>
      <c r="B36" s="14" t="s">
        <v>56</v>
      </c>
      <c r="C36" s="15">
        <v>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" customHeight="1">
      <c r="A37" s="17"/>
      <c r="B37" s="14" t="s">
        <v>57</v>
      </c>
      <c r="C37" s="15">
        <v>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" customHeight="1">
      <c r="A38" s="17"/>
      <c r="B38" s="16" t="s">
        <v>35</v>
      </c>
      <c r="C38" s="18"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" customHeight="1">
      <c r="A39" s="17"/>
      <c r="B39" s="16" t="s">
        <v>30</v>
      </c>
      <c r="C39" s="18">
        <v>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" customHeight="1">
      <c r="A40" s="17"/>
      <c r="B40" s="16"/>
      <c r="C40" s="18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" customHeight="1">
      <c r="A41" s="17">
        <v>7</v>
      </c>
      <c r="B41" s="16" t="s">
        <v>58</v>
      </c>
      <c r="C41" s="18">
        <v>4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" customHeight="1">
      <c r="A42" s="17"/>
      <c r="B42" s="16" t="s">
        <v>59</v>
      </c>
      <c r="C42" s="18">
        <v>3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" customHeight="1">
      <c r="A43" s="17"/>
      <c r="B43" s="16" t="s">
        <v>60</v>
      </c>
      <c r="C43" s="18">
        <v>2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" customHeight="1">
      <c r="A44" s="17"/>
      <c r="B44" s="16" t="s">
        <v>61</v>
      </c>
      <c r="C44" s="18">
        <v>2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" customHeight="1">
      <c r="A45" s="17"/>
      <c r="B45" s="16" t="s">
        <v>62</v>
      </c>
      <c r="C45" s="18">
        <v>2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" customHeight="1">
      <c r="A46" s="17"/>
      <c r="B46" s="16" t="s">
        <v>63</v>
      </c>
      <c r="C46" s="18">
        <v>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" customHeight="1">
      <c r="A47" s="17"/>
      <c r="B47" s="16" t="s">
        <v>64</v>
      </c>
      <c r="C47" s="18">
        <v>1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" customHeight="1">
      <c r="A48" s="17"/>
      <c r="B48" s="16" t="s">
        <v>65</v>
      </c>
      <c r="C48" s="18"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" customHeight="1">
      <c r="A49" s="17"/>
      <c r="B49" s="16" t="s">
        <v>30</v>
      </c>
      <c r="C49" s="18"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" customHeight="1">
      <c r="A50" s="17"/>
      <c r="B50" s="16"/>
      <c r="C50" s="1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" customHeight="1">
      <c r="A51" s="17">
        <v>8</v>
      </c>
      <c r="B51" s="16" t="s">
        <v>24</v>
      </c>
      <c r="C51" s="18">
        <v>6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" customHeight="1">
      <c r="A52" s="17"/>
      <c r="B52" s="16" t="s">
        <v>66</v>
      </c>
      <c r="C52" s="18">
        <v>4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" customHeight="1">
      <c r="A53" s="17"/>
      <c r="B53" s="16" t="s">
        <v>67</v>
      </c>
      <c r="C53" s="18">
        <v>2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" customHeight="1">
      <c r="A54" s="17"/>
      <c r="B54" s="16" t="s">
        <v>68</v>
      </c>
      <c r="C54" s="18">
        <v>1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" customHeight="1">
      <c r="A55" s="17"/>
      <c r="B55" s="16" t="s">
        <v>35</v>
      </c>
      <c r="C55" s="18">
        <v>0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" customHeight="1">
      <c r="A56" s="17"/>
      <c r="B56" s="16" t="s">
        <v>30</v>
      </c>
      <c r="C56" s="18">
        <v>0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" customHeight="1">
      <c r="A57" s="17"/>
      <c r="B57" s="16"/>
      <c r="C57" s="18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" customHeight="1">
      <c r="A58" s="17"/>
      <c r="B58" s="16"/>
      <c r="C58" s="18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" customHeight="1">
      <c r="A59" s="17"/>
      <c r="B59" s="16"/>
      <c r="C59" s="18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" customHeight="1">
      <c r="A60" s="17"/>
      <c r="B60" s="16"/>
      <c r="C60" s="18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" customHeight="1">
      <c r="A61" s="17"/>
      <c r="B61" s="16"/>
      <c r="C61" s="18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" customHeight="1">
      <c r="A62" s="17"/>
      <c r="B62" s="16"/>
      <c r="C62" s="18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" customHeight="1">
      <c r="A63" s="17"/>
      <c r="B63" s="16"/>
      <c r="C63" s="18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" customHeight="1">
      <c r="A64" s="17"/>
      <c r="B64" s="16"/>
      <c r="C64" s="18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" customHeight="1">
      <c r="A65" s="17"/>
      <c r="B65" s="16"/>
      <c r="C65" s="18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" customHeight="1">
      <c r="A66" s="17"/>
      <c r="B66" s="16"/>
      <c r="C66" s="18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" customHeight="1">
      <c r="A67" s="17"/>
      <c r="B67" s="16"/>
      <c r="C67" s="18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" customHeight="1">
      <c r="A68" s="17"/>
      <c r="B68" s="16"/>
      <c r="C68" s="18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" customHeight="1">
      <c r="A69" s="17"/>
      <c r="B69" s="16"/>
      <c r="C69" s="18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" customHeight="1">
      <c r="A70" s="17"/>
      <c r="B70" s="16"/>
      <c r="C70" s="1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" customHeight="1">
      <c r="A71" s="17"/>
      <c r="B71" s="16"/>
      <c r="C71" s="18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" customHeight="1">
      <c r="A72" s="17"/>
      <c r="B72" s="16"/>
      <c r="C72" s="18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" customHeight="1">
      <c r="A73" s="17"/>
      <c r="B73" s="16"/>
      <c r="C73" s="18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" customHeight="1">
      <c r="A74" s="17"/>
      <c r="B74" s="16"/>
      <c r="C74" s="18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" customHeight="1">
      <c r="A75" s="17"/>
      <c r="B75" s="16"/>
      <c r="C75" s="18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" customHeight="1">
      <c r="A76" s="17"/>
      <c r="B76" s="16"/>
      <c r="C76" s="18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" customHeight="1">
      <c r="A77" s="17"/>
      <c r="B77" s="16"/>
      <c r="C77" s="18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" customHeight="1">
      <c r="A78" s="17"/>
      <c r="B78" s="16"/>
      <c r="C78" s="1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" customHeight="1">
      <c r="A79" s="17"/>
      <c r="B79" s="16"/>
      <c r="C79" s="1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" customHeight="1">
      <c r="A80" s="17"/>
      <c r="B80" s="16"/>
      <c r="C80" s="18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" customHeight="1">
      <c r="A81" s="17"/>
      <c r="B81" s="16"/>
      <c r="C81" s="1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" customHeight="1">
      <c r="A82" s="17"/>
      <c r="B82" s="16"/>
      <c r="C82" s="18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" customHeight="1">
      <c r="A83" s="17"/>
      <c r="B83" s="16"/>
      <c r="C83" s="18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" customHeight="1">
      <c r="A84" s="17"/>
      <c r="B84" s="16"/>
      <c r="C84" s="18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" customHeight="1">
      <c r="A85" s="17"/>
      <c r="B85" s="16"/>
      <c r="C85" s="18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" customHeight="1">
      <c r="A86" s="17"/>
      <c r="B86" s="16"/>
      <c r="C86" s="18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" customHeight="1">
      <c r="A87" s="17"/>
      <c r="B87" s="16"/>
      <c r="C87" s="18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" customHeight="1">
      <c r="A88" s="17"/>
      <c r="B88" s="16"/>
      <c r="C88" s="18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" customHeight="1">
      <c r="A89" s="17"/>
      <c r="B89" s="16"/>
      <c r="C89" s="18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" customHeight="1">
      <c r="A90" s="17"/>
      <c r="B90" s="16"/>
      <c r="C90" s="18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" customHeight="1">
      <c r="A91" s="17"/>
      <c r="B91" s="16"/>
      <c r="C91" s="18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" customHeight="1">
      <c r="A92" s="17"/>
      <c r="B92" s="16"/>
      <c r="C92" s="18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" customHeight="1">
      <c r="A93" s="17"/>
      <c r="B93" s="16"/>
      <c r="C93" s="18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" customHeight="1">
      <c r="A94" s="17"/>
      <c r="B94" s="16"/>
      <c r="C94" s="18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" customHeight="1">
      <c r="A95" s="17"/>
      <c r="B95" s="16"/>
      <c r="C95" s="18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" customHeight="1">
      <c r="A96" s="17"/>
      <c r="B96" s="16"/>
      <c r="C96" s="18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" customHeight="1">
      <c r="A97" s="17"/>
      <c r="B97" s="16"/>
      <c r="C97" s="18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" customHeight="1">
      <c r="A98" s="17"/>
      <c r="B98" s="16"/>
      <c r="C98" s="18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" customHeight="1">
      <c r="A99" s="17"/>
      <c r="B99" s="16"/>
      <c r="C99" s="18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" customHeight="1">
      <c r="A100" s="17"/>
      <c r="B100" s="16"/>
      <c r="C100" s="18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" customHeight="1">
      <c r="A101" s="17"/>
      <c r="B101" s="16"/>
      <c r="C101" s="18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" customHeight="1">
      <c r="A102" s="17"/>
      <c r="B102" s="16"/>
      <c r="C102" s="18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" customHeight="1">
      <c r="A103" s="17"/>
      <c r="B103" s="16"/>
      <c r="C103" s="18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" customHeight="1">
      <c r="A104" s="17"/>
      <c r="B104" s="16"/>
      <c r="C104" s="18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" customHeight="1">
      <c r="A105" s="17"/>
      <c r="B105" s="16"/>
      <c r="C105" s="18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" customHeight="1">
      <c r="A106" s="17"/>
      <c r="B106" s="16"/>
      <c r="C106" s="18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" customHeight="1">
      <c r="A107" s="17"/>
      <c r="B107" s="16"/>
      <c r="C107" s="18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" customHeight="1">
      <c r="A108" s="17"/>
      <c r="B108" s="16"/>
      <c r="C108" s="18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" customHeight="1">
      <c r="A109" s="17"/>
      <c r="B109" s="16"/>
      <c r="C109" s="18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" customHeight="1">
      <c r="A110" s="17"/>
      <c r="B110" s="16"/>
      <c r="C110" s="18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" customHeight="1">
      <c r="A111" s="17"/>
      <c r="B111" s="16"/>
      <c r="C111" s="18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" customHeight="1">
      <c r="A112" s="17"/>
      <c r="B112" s="16"/>
      <c r="C112" s="18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" customHeight="1">
      <c r="A113" s="17"/>
      <c r="B113" s="16"/>
      <c r="C113" s="18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" customHeight="1">
      <c r="A114" s="17"/>
      <c r="B114" s="16"/>
      <c r="C114" s="18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" customHeight="1">
      <c r="A115" s="17"/>
      <c r="B115" s="16"/>
      <c r="C115" s="18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" customHeight="1">
      <c r="A116" s="17"/>
      <c r="B116" s="16"/>
      <c r="C116" s="18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" customHeight="1">
      <c r="A117" s="17"/>
      <c r="B117" s="16"/>
      <c r="C117" s="18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" customHeight="1">
      <c r="A118" s="17"/>
      <c r="B118" s="16"/>
      <c r="C118" s="18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" customHeight="1">
      <c r="A119" s="17"/>
      <c r="B119" s="16"/>
      <c r="C119" s="18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" customHeight="1">
      <c r="A120" s="17"/>
      <c r="B120" s="16"/>
      <c r="C120" s="18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" customHeight="1">
      <c r="A121" s="17"/>
      <c r="B121" s="16"/>
      <c r="C121" s="18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" customHeight="1">
      <c r="A122" s="17"/>
      <c r="B122" s="16"/>
      <c r="C122" s="18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" customHeight="1">
      <c r="A123" s="17"/>
      <c r="B123" s="16"/>
      <c r="C123" s="18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" customHeight="1">
      <c r="A124" s="17"/>
      <c r="B124" s="16"/>
      <c r="C124" s="18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" customHeight="1">
      <c r="A125" s="17"/>
      <c r="B125" s="16"/>
      <c r="C125" s="18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" customHeight="1">
      <c r="A126" s="17"/>
      <c r="B126" s="16"/>
      <c r="C126" s="18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" customHeight="1">
      <c r="A127" s="17"/>
      <c r="B127" s="16"/>
      <c r="C127" s="18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" customHeight="1">
      <c r="A128" s="17"/>
      <c r="B128" s="16"/>
      <c r="C128" s="18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" customHeight="1">
      <c r="A129" s="17"/>
      <c r="B129" s="16"/>
      <c r="C129" s="18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" customHeight="1">
      <c r="A130" s="17"/>
      <c r="B130" s="16"/>
      <c r="C130" s="18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" customHeight="1">
      <c r="A131" s="17"/>
      <c r="B131" s="16"/>
      <c r="C131" s="18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" customHeight="1">
      <c r="A132" s="17"/>
      <c r="B132" s="16"/>
      <c r="C132" s="18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" customHeight="1">
      <c r="A133" s="17"/>
      <c r="B133" s="16"/>
      <c r="C133" s="18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" customHeight="1">
      <c r="A134" s="17"/>
      <c r="B134" s="16"/>
      <c r="C134" s="18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" customHeight="1">
      <c r="A135" s="17"/>
      <c r="B135" s="16"/>
      <c r="C135" s="18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" customHeight="1">
      <c r="A136" s="17"/>
      <c r="B136" s="16"/>
      <c r="C136" s="18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" customHeight="1">
      <c r="A137" s="17"/>
      <c r="B137" s="16"/>
      <c r="C137" s="18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" customHeight="1">
      <c r="A138" s="17"/>
      <c r="B138" s="16"/>
      <c r="C138" s="18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" customHeight="1">
      <c r="A139" s="17"/>
      <c r="B139" s="16"/>
      <c r="C139" s="18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" customHeight="1">
      <c r="A140" s="17"/>
      <c r="B140" s="16"/>
      <c r="C140" s="18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" customHeight="1">
      <c r="A141" s="17"/>
      <c r="B141" s="16"/>
      <c r="C141" s="18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" customHeight="1">
      <c r="A142" s="17"/>
      <c r="B142" s="16"/>
      <c r="C142" s="18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" customHeight="1">
      <c r="A143" s="17"/>
      <c r="B143" s="16"/>
      <c r="C143" s="18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" customHeight="1">
      <c r="A144" s="17"/>
      <c r="B144" s="16"/>
      <c r="C144" s="18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" customHeight="1">
      <c r="A145" s="17"/>
      <c r="B145" s="16"/>
      <c r="C145" s="18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" customHeight="1">
      <c r="A146" s="17"/>
      <c r="B146" s="16"/>
      <c r="C146" s="18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" customHeight="1">
      <c r="A147" s="17"/>
      <c r="B147" s="16"/>
      <c r="C147" s="18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" customHeight="1">
      <c r="A148" s="17"/>
      <c r="B148" s="16"/>
      <c r="C148" s="18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" customHeight="1">
      <c r="A149" s="17"/>
      <c r="B149" s="16"/>
      <c r="C149" s="18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" customHeight="1">
      <c r="A150" s="17"/>
      <c r="B150" s="16"/>
      <c r="C150" s="18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" customHeight="1">
      <c r="A151" s="17"/>
      <c r="B151" s="16"/>
      <c r="C151" s="18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" customHeight="1">
      <c r="A152" s="17"/>
      <c r="B152" s="16"/>
      <c r="C152" s="18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" customHeight="1">
      <c r="A153" s="17"/>
      <c r="B153" s="16"/>
      <c r="C153" s="18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" customHeight="1">
      <c r="A154" s="17"/>
      <c r="B154" s="16"/>
      <c r="C154" s="18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" customHeight="1">
      <c r="A155" s="17"/>
      <c r="B155" s="16"/>
      <c r="C155" s="18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" customHeight="1">
      <c r="A156" s="17"/>
      <c r="B156" s="16"/>
      <c r="C156" s="18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" customHeight="1">
      <c r="A157" s="17"/>
      <c r="B157" s="16"/>
      <c r="C157" s="18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" customHeight="1">
      <c r="A158" s="17"/>
      <c r="B158" s="16"/>
      <c r="C158" s="18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" customHeight="1">
      <c r="A159" s="17"/>
      <c r="B159" s="16"/>
      <c r="C159" s="18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" customHeight="1">
      <c r="A160" s="17"/>
      <c r="B160" s="16"/>
      <c r="C160" s="18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" customHeight="1">
      <c r="A161" s="17"/>
      <c r="B161" s="16"/>
      <c r="C161" s="18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" customHeight="1">
      <c r="A162" s="17"/>
      <c r="B162" s="16"/>
      <c r="C162" s="18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" customHeight="1">
      <c r="A163" s="17"/>
      <c r="B163" s="16"/>
      <c r="C163" s="18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" customHeight="1">
      <c r="A164" s="17"/>
      <c r="B164" s="16"/>
      <c r="C164" s="18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" customHeight="1">
      <c r="A165" s="17"/>
      <c r="B165" s="16"/>
      <c r="C165" s="18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" customHeight="1">
      <c r="A166" s="17"/>
      <c r="B166" s="16"/>
      <c r="C166" s="18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" customHeight="1">
      <c r="A167" s="17"/>
      <c r="B167" s="16"/>
      <c r="C167" s="18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" customHeight="1">
      <c r="A168" s="17"/>
      <c r="B168" s="16"/>
      <c r="C168" s="18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" customHeight="1">
      <c r="A169" s="17"/>
      <c r="B169" s="16"/>
      <c r="C169" s="18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" customHeight="1">
      <c r="A170" s="17"/>
      <c r="B170" s="16"/>
      <c r="C170" s="18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" customHeight="1">
      <c r="A171" s="17"/>
      <c r="B171" s="16"/>
      <c r="C171" s="18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" customHeight="1">
      <c r="A172" s="17"/>
      <c r="B172" s="16"/>
      <c r="C172" s="18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" customHeight="1">
      <c r="A173" s="17"/>
      <c r="B173" s="16"/>
      <c r="C173" s="18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" customHeight="1">
      <c r="A174" s="17"/>
      <c r="B174" s="16"/>
      <c r="C174" s="18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" customHeight="1">
      <c r="A175" s="17"/>
      <c r="B175" s="16"/>
      <c r="C175" s="18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" customHeight="1">
      <c r="A176" s="17"/>
      <c r="B176" s="16"/>
      <c r="C176" s="18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" customHeight="1">
      <c r="A177" s="17"/>
      <c r="B177" s="16"/>
      <c r="C177" s="18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" customHeight="1">
      <c r="A178" s="17"/>
      <c r="B178" s="16"/>
      <c r="C178" s="18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" customHeight="1">
      <c r="A179" s="17"/>
      <c r="B179" s="16"/>
      <c r="C179" s="18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" customHeight="1">
      <c r="A180" s="17"/>
      <c r="B180" s="16"/>
      <c r="C180" s="18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" customHeight="1">
      <c r="A181" s="17"/>
      <c r="B181" s="16"/>
      <c r="C181" s="18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" customHeight="1">
      <c r="A182" s="17"/>
      <c r="B182" s="16"/>
      <c r="C182" s="18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" customHeight="1">
      <c r="A183" s="17"/>
      <c r="B183" s="16"/>
      <c r="C183" s="18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" customHeight="1">
      <c r="A184" s="17"/>
      <c r="B184" s="16"/>
      <c r="C184" s="18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" customHeight="1">
      <c r="A185" s="17"/>
      <c r="B185" s="16"/>
      <c r="C185" s="18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" customHeight="1">
      <c r="A186" s="17"/>
      <c r="B186" s="16"/>
      <c r="C186" s="18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" customHeight="1">
      <c r="A187" s="17"/>
      <c r="B187" s="16"/>
      <c r="C187" s="18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" customHeight="1">
      <c r="A188" s="17"/>
      <c r="B188" s="16"/>
      <c r="C188" s="18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" customHeight="1">
      <c r="A189" s="17"/>
      <c r="B189" s="16"/>
      <c r="C189" s="18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" customHeight="1">
      <c r="A190" s="17"/>
      <c r="B190" s="16"/>
      <c r="C190" s="18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" customHeight="1">
      <c r="A191" s="17"/>
      <c r="B191" s="16"/>
      <c r="C191" s="18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" customHeight="1">
      <c r="A192" s="17"/>
      <c r="B192" s="16"/>
      <c r="C192" s="18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" customHeight="1">
      <c r="A193" s="17"/>
      <c r="B193" s="16"/>
      <c r="C193" s="18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" customHeight="1">
      <c r="A194" s="17"/>
      <c r="B194" s="16"/>
      <c r="C194" s="18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" customHeight="1">
      <c r="A195" s="17"/>
      <c r="B195" s="16"/>
      <c r="C195" s="18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" customHeight="1">
      <c r="A196" s="17"/>
      <c r="B196" s="16"/>
      <c r="C196" s="18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" customHeight="1">
      <c r="A197" s="17"/>
      <c r="B197" s="16"/>
      <c r="C197" s="18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" customHeight="1">
      <c r="A198" s="17"/>
      <c r="B198" s="16"/>
      <c r="C198" s="18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" customHeight="1">
      <c r="A199" s="17"/>
      <c r="B199" s="16"/>
      <c r="C199" s="18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" customHeight="1">
      <c r="A200" s="17"/>
      <c r="B200" s="16"/>
      <c r="C200" s="18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" customHeight="1">
      <c r="A201" s="17"/>
      <c r="B201" s="16"/>
      <c r="C201" s="18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" customHeight="1">
      <c r="A202" s="17"/>
      <c r="B202" s="16"/>
      <c r="C202" s="18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" customHeight="1">
      <c r="A203" s="17"/>
      <c r="B203" s="16"/>
      <c r="C203" s="18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" customHeight="1">
      <c r="A204" s="17"/>
      <c r="B204" s="16"/>
      <c r="C204" s="18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" customHeight="1">
      <c r="A205" s="17"/>
      <c r="B205" s="16"/>
      <c r="C205" s="18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" customHeight="1">
      <c r="A206" s="17"/>
      <c r="B206" s="16"/>
      <c r="C206" s="18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" customHeight="1">
      <c r="A207" s="17"/>
      <c r="B207" s="16"/>
      <c r="C207" s="18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" customHeight="1">
      <c r="A208" s="17"/>
      <c r="B208" s="16"/>
      <c r="C208" s="18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" customHeight="1">
      <c r="A209" s="17"/>
      <c r="B209" s="16"/>
      <c r="C209" s="18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" customHeight="1">
      <c r="A210" s="17"/>
      <c r="B210" s="16"/>
      <c r="C210" s="18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" customHeight="1">
      <c r="A211" s="17"/>
      <c r="B211" s="16"/>
      <c r="C211" s="18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" customHeight="1">
      <c r="A212" s="17"/>
      <c r="B212" s="16"/>
      <c r="C212" s="18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" customHeight="1">
      <c r="A213" s="17"/>
      <c r="B213" s="16"/>
      <c r="C213" s="18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" customHeight="1">
      <c r="A214" s="17"/>
      <c r="B214" s="16"/>
      <c r="C214" s="18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" customHeight="1">
      <c r="A215" s="17"/>
      <c r="B215" s="16"/>
      <c r="C215" s="18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" customHeight="1">
      <c r="A216" s="17"/>
      <c r="B216" s="16"/>
      <c r="C216" s="18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" customHeight="1">
      <c r="A217" s="17"/>
      <c r="B217" s="16"/>
      <c r="C217" s="18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" customHeight="1">
      <c r="A218" s="17"/>
      <c r="B218" s="16"/>
      <c r="C218" s="18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" customHeight="1">
      <c r="A219" s="17"/>
      <c r="B219" s="16"/>
      <c r="C219" s="18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" customHeight="1">
      <c r="A220" s="17"/>
      <c r="B220" s="16"/>
      <c r="C220" s="18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" customHeight="1">
      <c r="A221" s="17"/>
      <c r="B221" s="16"/>
      <c r="C221" s="18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" customHeight="1">
      <c r="A222" s="17"/>
      <c r="B222" s="16"/>
      <c r="C222" s="18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" customHeight="1">
      <c r="A223" s="17"/>
      <c r="B223" s="16"/>
      <c r="C223" s="18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" customHeight="1">
      <c r="A224" s="17"/>
      <c r="B224" s="16"/>
      <c r="C224" s="18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" customHeight="1">
      <c r="A225" s="17"/>
      <c r="B225" s="16"/>
      <c r="C225" s="18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" customHeight="1">
      <c r="A226" s="17"/>
      <c r="B226" s="16"/>
      <c r="C226" s="18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" customHeight="1">
      <c r="A227" s="17"/>
      <c r="B227" s="16"/>
      <c r="C227" s="18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" customHeight="1">
      <c r="A228" s="17"/>
      <c r="B228" s="16"/>
      <c r="C228" s="18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" customHeight="1">
      <c r="A229" s="17"/>
      <c r="B229" s="16"/>
      <c r="C229" s="18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" customHeight="1">
      <c r="A230" s="17"/>
      <c r="B230" s="16"/>
      <c r="C230" s="18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" customHeight="1">
      <c r="A231" s="17"/>
      <c r="B231" s="16"/>
      <c r="C231" s="18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" customHeight="1">
      <c r="A232" s="17"/>
      <c r="B232" s="16"/>
      <c r="C232" s="18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" customHeight="1">
      <c r="A233" s="17"/>
      <c r="B233" s="16"/>
      <c r="C233" s="18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" customHeight="1">
      <c r="A234" s="17"/>
      <c r="B234" s="16"/>
      <c r="C234" s="18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" customHeight="1">
      <c r="A235" s="17"/>
      <c r="B235" s="16"/>
      <c r="C235" s="18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" customHeight="1">
      <c r="A236" s="17"/>
      <c r="B236" s="16"/>
      <c r="C236" s="18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" customHeight="1">
      <c r="A237" s="17"/>
      <c r="B237" s="16"/>
      <c r="C237" s="18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" customHeight="1">
      <c r="A238" s="17"/>
      <c r="B238" s="16"/>
      <c r="C238" s="18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" customHeight="1">
      <c r="A239" s="17"/>
      <c r="B239" s="16"/>
      <c r="C239" s="18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" customHeight="1">
      <c r="A240" s="17"/>
      <c r="B240" s="16"/>
      <c r="C240" s="18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" customHeight="1">
      <c r="A241" s="17"/>
      <c r="B241" s="16"/>
      <c r="C241" s="18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" customHeight="1">
      <c r="A242" s="17"/>
      <c r="B242" s="16"/>
      <c r="C242" s="18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" customHeight="1">
      <c r="A243" s="17"/>
      <c r="B243" s="16"/>
      <c r="C243" s="18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" customHeight="1">
      <c r="A244" s="17"/>
      <c r="B244" s="16"/>
      <c r="C244" s="18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" customHeight="1">
      <c r="A245" s="17"/>
      <c r="B245" s="16"/>
      <c r="C245" s="18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" customHeight="1">
      <c r="A246" s="17"/>
      <c r="B246" s="16"/>
      <c r="C246" s="18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" customHeight="1">
      <c r="A247" s="17"/>
      <c r="B247" s="16"/>
      <c r="C247" s="18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" customHeight="1">
      <c r="A248" s="17"/>
      <c r="B248" s="16"/>
      <c r="C248" s="18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" customHeight="1">
      <c r="A249" s="17"/>
      <c r="B249" s="16"/>
      <c r="C249" s="18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" customHeight="1">
      <c r="A250" s="17"/>
      <c r="B250" s="16"/>
      <c r="C250" s="18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" customHeight="1">
      <c r="A251" s="17"/>
      <c r="B251" s="16"/>
      <c r="C251" s="18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" customHeight="1">
      <c r="A252" s="17"/>
      <c r="B252" s="16"/>
      <c r="C252" s="18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" customHeight="1">
      <c r="A253" s="17"/>
      <c r="B253" s="16"/>
      <c r="C253" s="18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" customHeight="1">
      <c r="A254" s="17"/>
      <c r="B254" s="16"/>
      <c r="C254" s="18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" customHeight="1">
      <c r="A255" s="17"/>
      <c r="B255" s="16"/>
      <c r="C255" s="18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" customHeight="1">
      <c r="A256" s="17"/>
      <c r="B256" s="16"/>
      <c r="C256" s="18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" customHeight="1">
      <c r="A257" s="17"/>
      <c r="B257" s="16"/>
      <c r="C257" s="18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" customHeight="1">
      <c r="A258" s="17"/>
      <c r="B258" s="16"/>
      <c r="C258" s="18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" customHeight="1">
      <c r="A259" s="17"/>
      <c r="B259" s="16"/>
      <c r="C259" s="18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" customHeight="1">
      <c r="A260" s="17"/>
      <c r="B260" s="16"/>
      <c r="C260" s="18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" customHeight="1">
      <c r="A261" s="17"/>
      <c r="B261" s="16"/>
      <c r="C261" s="18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" customHeight="1">
      <c r="A262" s="17"/>
      <c r="B262" s="16"/>
      <c r="C262" s="18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" customHeight="1">
      <c r="A263" s="17"/>
      <c r="B263" s="16"/>
      <c r="C263" s="18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" customHeight="1">
      <c r="A264" s="17"/>
      <c r="B264" s="16"/>
      <c r="C264" s="18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" customHeight="1">
      <c r="A265" s="17"/>
      <c r="B265" s="16"/>
      <c r="C265" s="18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" customHeight="1">
      <c r="A266" s="17"/>
      <c r="B266" s="16"/>
      <c r="C266" s="18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" customHeight="1">
      <c r="A267" s="17"/>
      <c r="B267" s="16"/>
      <c r="C267" s="18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" customHeight="1">
      <c r="A268" s="17"/>
      <c r="B268" s="16"/>
      <c r="C268" s="18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" customHeight="1">
      <c r="A269" s="17"/>
      <c r="B269" s="16"/>
      <c r="C269" s="18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" customHeight="1">
      <c r="A270" s="17"/>
      <c r="B270" s="16"/>
      <c r="C270" s="18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" customHeight="1">
      <c r="A271" s="17"/>
      <c r="B271" s="16"/>
      <c r="C271" s="18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" customHeight="1">
      <c r="A272" s="17"/>
      <c r="B272" s="16"/>
      <c r="C272" s="18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" customHeight="1">
      <c r="A273" s="17"/>
      <c r="B273" s="16"/>
      <c r="C273" s="18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" customHeight="1">
      <c r="A274" s="17"/>
      <c r="B274" s="16"/>
      <c r="C274" s="18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" customHeight="1">
      <c r="A275" s="17"/>
      <c r="B275" s="16"/>
      <c r="C275" s="18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" customHeight="1">
      <c r="A276" s="17"/>
      <c r="B276" s="16"/>
      <c r="C276" s="18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" customHeight="1">
      <c r="A277" s="17"/>
      <c r="B277" s="16"/>
      <c r="C277" s="18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" customHeight="1">
      <c r="A278" s="17"/>
      <c r="B278" s="16"/>
      <c r="C278" s="18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" customHeight="1">
      <c r="A279" s="17"/>
      <c r="B279" s="16"/>
      <c r="C279" s="18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" customHeight="1">
      <c r="A280" s="17"/>
      <c r="B280" s="16"/>
      <c r="C280" s="18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" customHeight="1">
      <c r="A281" s="17"/>
      <c r="B281" s="16"/>
      <c r="C281" s="18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" customHeight="1">
      <c r="A282" s="17"/>
      <c r="B282" s="16"/>
      <c r="C282" s="18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" customHeight="1">
      <c r="A283" s="17"/>
      <c r="B283" s="16"/>
      <c r="C283" s="18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" customHeight="1">
      <c r="A284" s="17"/>
      <c r="B284" s="16"/>
      <c r="C284" s="18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" customHeight="1">
      <c r="A285" s="17"/>
      <c r="B285" s="16"/>
      <c r="C285" s="18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" customHeight="1">
      <c r="A286" s="17"/>
      <c r="B286" s="16"/>
      <c r="C286" s="18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" customHeight="1">
      <c r="A287" s="17"/>
      <c r="B287" s="16"/>
      <c r="C287" s="18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" customHeight="1">
      <c r="A288" s="17"/>
      <c r="B288" s="16"/>
      <c r="C288" s="18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" customHeight="1">
      <c r="A289" s="17"/>
      <c r="B289" s="16"/>
      <c r="C289" s="18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" customHeight="1">
      <c r="A290" s="17"/>
      <c r="B290" s="16"/>
      <c r="C290" s="18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" customHeight="1">
      <c r="A291" s="17"/>
      <c r="B291" s="16"/>
      <c r="C291" s="18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" customHeight="1">
      <c r="A292" s="17"/>
      <c r="B292" s="16"/>
      <c r="C292" s="18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" customHeight="1">
      <c r="A293" s="17"/>
      <c r="B293" s="16"/>
      <c r="C293" s="18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" customHeight="1">
      <c r="A294" s="17"/>
      <c r="B294" s="16"/>
      <c r="C294" s="18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" customHeight="1">
      <c r="A295" s="17"/>
      <c r="B295" s="16"/>
      <c r="C295" s="18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" customHeight="1">
      <c r="A296" s="17"/>
      <c r="B296" s="16"/>
      <c r="C296" s="18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" customHeight="1">
      <c r="A297" s="17"/>
      <c r="B297" s="16"/>
      <c r="C297" s="18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" customHeight="1">
      <c r="A298" s="17"/>
      <c r="B298" s="16"/>
      <c r="C298" s="18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" customHeight="1">
      <c r="A299" s="17"/>
      <c r="B299" s="16"/>
      <c r="C299" s="18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" customHeight="1">
      <c r="A300" s="17"/>
      <c r="B300" s="16"/>
      <c r="C300" s="18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" customHeight="1">
      <c r="A301" s="17"/>
      <c r="B301" s="16"/>
      <c r="C301" s="18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" customHeight="1">
      <c r="A302" s="17"/>
      <c r="B302" s="16"/>
      <c r="C302" s="18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" customHeight="1">
      <c r="A303" s="17"/>
      <c r="B303" s="16"/>
      <c r="C303" s="18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" customHeight="1">
      <c r="A304" s="17"/>
      <c r="B304" s="16"/>
      <c r="C304" s="18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" customHeight="1">
      <c r="A305" s="17"/>
      <c r="B305" s="16"/>
      <c r="C305" s="18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" customHeight="1">
      <c r="A306" s="17"/>
      <c r="B306" s="16"/>
      <c r="C306" s="18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" customHeight="1">
      <c r="A307" s="17"/>
      <c r="B307" s="16"/>
      <c r="C307" s="18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" customHeight="1">
      <c r="A308" s="17"/>
      <c r="B308" s="16"/>
      <c r="C308" s="18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" customHeight="1">
      <c r="A309" s="17"/>
      <c r="B309" s="16"/>
      <c r="C309" s="18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" customHeight="1">
      <c r="A310" s="17"/>
      <c r="B310" s="16"/>
      <c r="C310" s="18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" customHeight="1">
      <c r="A311" s="17"/>
      <c r="B311" s="16"/>
      <c r="C311" s="18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" customHeight="1">
      <c r="A312" s="17"/>
      <c r="B312" s="16"/>
      <c r="C312" s="18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" customHeight="1">
      <c r="A313" s="17"/>
      <c r="B313" s="16"/>
      <c r="C313" s="18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" customHeight="1">
      <c r="A314" s="17"/>
      <c r="B314" s="16"/>
      <c r="C314" s="18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" customHeight="1">
      <c r="A315" s="17"/>
      <c r="B315" s="16"/>
      <c r="C315" s="18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" customHeight="1">
      <c r="A316" s="17"/>
      <c r="B316" s="16"/>
      <c r="C316" s="18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" customHeight="1">
      <c r="A317" s="17"/>
      <c r="B317" s="16"/>
      <c r="C317" s="18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" customHeight="1">
      <c r="A318" s="17"/>
      <c r="B318" s="16"/>
      <c r="C318" s="18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" customHeight="1">
      <c r="A319" s="17"/>
      <c r="B319" s="16"/>
      <c r="C319" s="18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" customHeight="1">
      <c r="A320" s="17"/>
      <c r="B320" s="16"/>
      <c r="C320" s="18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" customHeight="1">
      <c r="A321" s="17"/>
      <c r="B321" s="16"/>
      <c r="C321" s="18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" customHeight="1">
      <c r="A322" s="17"/>
      <c r="B322" s="16"/>
      <c r="C322" s="18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" customHeight="1">
      <c r="A323" s="17"/>
      <c r="B323" s="16"/>
      <c r="C323" s="18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" customHeight="1">
      <c r="A324" s="17"/>
      <c r="B324" s="16"/>
      <c r="C324" s="18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" customHeight="1">
      <c r="A325" s="17"/>
      <c r="B325" s="16"/>
      <c r="C325" s="18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" customHeight="1">
      <c r="A326" s="17"/>
      <c r="B326" s="16"/>
      <c r="C326" s="18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" customHeight="1">
      <c r="A327" s="17"/>
      <c r="B327" s="16"/>
      <c r="C327" s="18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" customHeight="1">
      <c r="A328" s="17"/>
      <c r="B328" s="16"/>
      <c r="C328" s="18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" customHeight="1">
      <c r="A329" s="17"/>
      <c r="B329" s="16"/>
      <c r="C329" s="18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" customHeight="1">
      <c r="A330" s="17"/>
      <c r="B330" s="16"/>
      <c r="C330" s="18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" customHeight="1">
      <c r="A331" s="17"/>
      <c r="B331" s="16"/>
      <c r="C331" s="18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" customHeight="1">
      <c r="A332" s="17"/>
      <c r="B332" s="16"/>
      <c r="C332" s="18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" customHeight="1">
      <c r="A333" s="17"/>
      <c r="B333" s="16"/>
      <c r="C333" s="18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" customHeight="1">
      <c r="A334" s="17"/>
      <c r="B334" s="16"/>
      <c r="C334" s="18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" customHeight="1">
      <c r="A335" s="17"/>
      <c r="B335" s="16"/>
      <c r="C335" s="18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" customHeight="1">
      <c r="A336" s="17"/>
      <c r="B336" s="16"/>
      <c r="C336" s="18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" customHeight="1">
      <c r="A337" s="17"/>
      <c r="B337" s="16"/>
      <c r="C337" s="18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" customHeight="1">
      <c r="A338" s="17"/>
      <c r="B338" s="16"/>
      <c r="C338" s="18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" customHeight="1">
      <c r="A339" s="17"/>
      <c r="B339" s="16"/>
      <c r="C339" s="18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" customHeight="1">
      <c r="A340" s="17"/>
      <c r="B340" s="16"/>
      <c r="C340" s="18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" customHeight="1">
      <c r="A341" s="17"/>
      <c r="B341" s="16"/>
      <c r="C341" s="18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" customHeight="1">
      <c r="A342" s="17"/>
      <c r="B342" s="16"/>
      <c r="C342" s="18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" customHeight="1">
      <c r="A343" s="17"/>
      <c r="B343" s="16"/>
      <c r="C343" s="18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" customHeight="1">
      <c r="A344" s="17"/>
      <c r="B344" s="16"/>
      <c r="C344" s="18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" customHeight="1">
      <c r="A345" s="17"/>
      <c r="B345" s="16"/>
      <c r="C345" s="18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" customHeight="1">
      <c r="A346" s="17"/>
      <c r="B346" s="16"/>
      <c r="C346" s="18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" customHeight="1">
      <c r="A347" s="17"/>
      <c r="B347" s="16"/>
      <c r="C347" s="18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" customHeight="1">
      <c r="A348" s="17"/>
      <c r="B348" s="16"/>
      <c r="C348" s="18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" customHeight="1">
      <c r="A349" s="17"/>
      <c r="B349" s="16"/>
      <c r="C349" s="18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" customHeight="1">
      <c r="A350" s="17"/>
      <c r="B350" s="16"/>
      <c r="C350" s="18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" customHeight="1">
      <c r="A351" s="17"/>
      <c r="B351" s="16"/>
      <c r="C351" s="18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" customHeight="1">
      <c r="A352" s="17"/>
      <c r="B352" s="16"/>
      <c r="C352" s="18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" customHeight="1">
      <c r="A353" s="17"/>
      <c r="B353" s="16"/>
      <c r="C353" s="18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" customHeight="1">
      <c r="A354" s="17"/>
      <c r="B354" s="16"/>
      <c r="C354" s="18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" customHeight="1">
      <c r="A355" s="17"/>
      <c r="B355" s="16"/>
      <c r="C355" s="18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" customHeight="1">
      <c r="A356" s="17"/>
      <c r="B356" s="16"/>
      <c r="C356" s="18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" customHeight="1">
      <c r="A357" s="17"/>
      <c r="B357" s="16"/>
      <c r="C357" s="18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" customHeight="1">
      <c r="A358" s="17"/>
      <c r="B358" s="16"/>
      <c r="C358" s="18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" customHeight="1">
      <c r="A359" s="17"/>
      <c r="B359" s="16"/>
      <c r="C359" s="18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" customHeight="1">
      <c r="A360" s="17"/>
      <c r="B360" s="16"/>
      <c r="C360" s="18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" customHeight="1">
      <c r="A361" s="17"/>
      <c r="B361" s="16"/>
      <c r="C361" s="18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" customHeight="1">
      <c r="A362" s="17"/>
      <c r="B362" s="16"/>
      <c r="C362" s="18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" customHeight="1">
      <c r="A363" s="17"/>
      <c r="B363" s="16"/>
      <c r="C363" s="18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" customHeight="1">
      <c r="A364" s="17"/>
      <c r="B364" s="16"/>
      <c r="C364" s="18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" customHeight="1">
      <c r="A365" s="17"/>
      <c r="B365" s="16"/>
      <c r="C365" s="18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" customHeight="1">
      <c r="A366" s="17"/>
      <c r="B366" s="16"/>
      <c r="C366" s="18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" customHeight="1">
      <c r="A367" s="17"/>
      <c r="B367" s="16"/>
      <c r="C367" s="18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" customHeight="1">
      <c r="A368" s="17"/>
      <c r="B368" s="16"/>
      <c r="C368" s="18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" customHeight="1">
      <c r="A369" s="17"/>
      <c r="B369" s="16"/>
      <c r="C369" s="18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" customHeight="1">
      <c r="A370" s="17"/>
      <c r="B370" s="16"/>
      <c r="C370" s="18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" customHeight="1">
      <c r="A371" s="17"/>
      <c r="B371" s="16"/>
      <c r="C371" s="18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" customHeight="1">
      <c r="A372" s="17"/>
      <c r="B372" s="16"/>
      <c r="C372" s="18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" customHeight="1">
      <c r="A373" s="17"/>
      <c r="B373" s="16"/>
      <c r="C373" s="18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" customHeight="1">
      <c r="A374" s="17"/>
      <c r="B374" s="16"/>
      <c r="C374" s="18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" customHeight="1">
      <c r="A375" s="17"/>
      <c r="B375" s="16"/>
      <c r="C375" s="18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" customHeight="1">
      <c r="A376" s="17"/>
      <c r="B376" s="16"/>
      <c r="C376" s="18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" customHeight="1">
      <c r="A377" s="17"/>
      <c r="B377" s="16"/>
      <c r="C377" s="18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" customHeight="1">
      <c r="A378" s="17"/>
      <c r="B378" s="16"/>
      <c r="C378" s="18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" customHeight="1">
      <c r="A379" s="17"/>
      <c r="B379" s="16"/>
      <c r="C379" s="18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" customHeight="1">
      <c r="A380" s="17"/>
      <c r="B380" s="16"/>
      <c r="C380" s="18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" customHeight="1">
      <c r="A381" s="17"/>
      <c r="B381" s="16"/>
      <c r="C381" s="18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" customHeight="1">
      <c r="A382" s="17"/>
      <c r="B382" s="16"/>
      <c r="C382" s="18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" customHeight="1">
      <c r="A383" s="17"/>
      <c r="B383" s="16"/>
      <c r="C383" s="18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" customHeight="1">
      <c r="A384" s="17"/>
      <c r="B384" s="16"/>
      <c r="C384" s="18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" customHeight="1">
      <c r="A385" s="17"/>
      <c r="B385" s="16"/>
      <c r="C385" s="18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" customHeight="1">
      <c r="A386" s="17"/>
      <c r="B386" s="16"/>
      <c r="C386" s="18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" customHeight="1">
      <c r="A387" s="17"/>
      <c r="B387" s="16"/>
      <c r="C387" s="18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" customHeight="1">
      <c r="A388" s="17"/>
      <c r="B388" s="16"/>
      <c r="C388" s="18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" customHeight="1">
      <c r="A389" s="17"/>
      <c r="B389" s="16"/>
      <c r="C389" s="18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" customHeight="1">
      <c r="A390" s="17"/>
      <c r="B390" s="16"/>
      <c r="C390" s="18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" customHeight="1">
      <c r="A391" s="17"/>
      <c r="B391" s="16"/>
      <c r="C391" s="18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" customHeight="1">
      <c r="A392" s="17"/>
      <c r="B392" s="16"/>
      <c r="C392" s="18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" customHeight="1">
      <c r="A393" s="17"/>
      <c r="B393" s="16"/>
      <c r="C393" s="18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" customHeight="1">
      <c r="A394" s="17"/>
      <c r="B394" s="16"/>
      <c r="C394" s="18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" customHeight="1">
      <c r="A395" s="17"/>
      <c r="B395" s="16"/>
      <c r="C395" s="18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" customHeight="1">
      <c r="A396" s="17"/>
      <c r="B396" s="16"/>
      <c r="C396" s="18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" customHeight="1">
      <c r="A397" s="17"/>
      <c r="B397" s="16"/>
      <c r="C397" s="18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" customHeight="1">
      <c r="A398" s="17"/>
      <c r="B398" s="16"/>
      <c r="C398" s="18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" customHeight="1">
      <c r="A399" s="17"/>
      <c r="B399" s="16"/>
      <c r="C399" s="18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" customHeight="1">
      <c r="A400" s="17"/>
      <c r="B400" s="16"/>
      <c r="C400" s="18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" customHeight="1">
      <c r="A401" s="17"/>
      <c r="B401" s="16"/>
      <c r="C401" s="18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" customHeight="1">
      <c r="A402" s="17"/>
      <c r="B402" s="16"/>
      <c r="C402" s="18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" customHeight="1">
      <c r="A403" s="17"/>
      <c r="B403" s="16"/>
      <c r="C403" s="18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" customHeight="1">
      <c r="A404" s="17"/>
      <c r="B404" s="16"/>
      <c r="C404" s="18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" customHeight="1">
      <c r="A405" s="17"/>
      <c r="B405" s="16"/>
      <c r="C405" s="18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" customHeight="1">
      <c r="A406" s="17"/>
      <c r="B406" s="16"/>
      <c r="C406" s="18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" customHeight="1">
      <c r="A407" s="17"/>
      <c r="B407" s="16"/>
      <c r="C407" s="18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" customHeight="1">
      <c r="A408" s="17"/>
      <c r="B408" s="16"/>
      <c r="C408" s="18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" customHeight="1">
      <c r="A409" s="17"/>
      <c r="B409" s="16"/>
      <c r="C409" s="18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" customHeight="1">
      <c r="A410" s="17"/>
      <c r="B410" s="16"/>
      <c r="C410" s="18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" customHeight="1">
      <c r="A411" s="17"/>
      <c r="B411" s="16"/>
      <c r="C411" s="18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" customHeight="1">
      <c r="A412" s="17"/>
      <c r="B412" s="16"/>
      <c r="C412" s="18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" customHeight="1">
      <c r="A413" s="17"/>
      <c r="B413" s="16"/>
      <c r="C413" s="18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" customHeight="1">
      <c r="A414" s="17"/>
      <c r="B414" s="16"/>
      <c r="C414" s="18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" customHeight="1">
      <c r="A415" s="17"/>
      <c r="B415" s="16"/>
      <c r="C415" s="18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" customHeight="1">
      <c r="A416" s="17"/>
      <c r="B416" s="16"/>
      <c r="C416" s="18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" customHeight="1">
      <c r="A417" s="17"/>
      <c r="B417" s="16"/>
      <c r="C417" s="18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" customHeight="1">
      <c r="A418" s="17"/>
      <c r="B418" s="16"/>
      <c r="C418" s="18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" customHeight="1">
      <c r="A419" s="17"/>
      <c r="B419" s="16"/>
      <c r="C419" s="18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" customHeight="1">
      <c r="A420" s="17"/>
      <c r="B420" s="16"/>
      <c r="C420" s="18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" customHeight="1">
      <c r="A421" s="17"/>
      <c r="B421" s="16"/>
      <c r="C421" s="18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" customHeight="1">
      <c r="A422" s="17"/>
      <c r="B422" s="16"/>
      <c r="C422" s="18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" customHeight="1">
      <c r="A423" s="17"/>
      <c r="B423" s="16"/>
      <c r="C423" s="18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" customHeight="1">
      <c r="A424" s="17"/>
      <c r="B424" s="16"/>
      <c r="C424" s="18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" customHeight="1">
      <c r="A425" s="17"/>
      <c r="B425" s="16"/>
      <c r="C425" s="18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" customHeight="1">
      <c r="A426" s="17"/>
      <c r="B426" s="16"/>
      <c r="C426" s="18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" customHeight="1">
      <c r="A427" s="17"/>
      <c r="B427" s="16"/>
      <c r="C427" s="18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" customHeight="1">
      <c r="A428" s="17"/>
      <c r="B428" s="16"/>
      <c r="C428" s="18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" customHeight="1">
      <c r="A429" s="17"/>
      <c r="B429" s="16"/>
      <c r="C429" s="18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" customHeight="1">
      <c r="A430" s="17"/>
      <c r="B430" s="16"/>
      <c r="C430" s="18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" customHeight="1">
      <c r="A431" s="17"/>
      <c r="B431" s="16"/>
      <c r="C431" s="18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" customHeight="1">
      <c r="A432" s="17"/>
      <c r="B432" s="16"/>
      <c r="C432" s="18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" customHeight="1">
      <c r="A433" s="17"/>
      <c r="B433" s="16"/>
      <c r="C433" s="18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" customHeight="1">
      <c r="A434" s="17"/>
      <c r="B434" s="16"/>
      <c r="C434" s="18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" customHeight="1">
      <c r="A435" s="17"/>
      <c r="B435" s="16"/>
      <c r="C435" s="18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" customHeight="1">
      <c r="A436" s="17"/>
      <c r="B436" s="16"/>
      <c r="C436" s="18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" customHeight="1">
      <c r="A437" s="17"/>
      <c r="B437" s="16"/>
      <c r="C437" s="18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" customHeight="1">
      <c r="A438" s="17"/>
      <c r="B438" s="16"/>
      <c r="C438" s="18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" customHeight="1">
      <c r="A439" s="17"/>
      <c r="B439" s="16"/>
      <c r="C439" s="18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" customHeight="1">
      <c r="A440" s="17"/>
      <c r="B440" s="16"/>
      <c r="C440" s="18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" customHeight="1">
      <c r="A441" s="17"/>
      <c r="B441" s="16"/>
      <c r="C441" s="18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" customHeight="1">
      <c r="A442" s="17"/>
      <c r="B442" s="16"/>
      <c r="C442" s="18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" customHeight="1">
      <c r="A443" s="17"/>
      <c r="B443" s="16"/>
      <c r="C443" s="18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" customHeight="1">
      <c r="A444" s="17"/>
      <c r="B444" s="16"/>
      <c r="C444" s="18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" customHeight="1">
      <c r="A445" s="17"/>
      <c r="B445" s="16"/>
      <c r="C445" s="18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" customHeight="1">
      <c r="A446" s="17"/>
      <c r="B446" s="16"/>
      <c r="C446" s="18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" customHeight="1">
      <c r="A447" s="17"/>
      <c r="B447" s="16"/>
      <c r="C447" s="18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" customHeight="1">
      <c r="A448" s="17"/>
      <c r="B448" s="16"/>
      <c r="C448" s="18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" customHeight="1">
      <c r="A449" s="17"/>
      <c r="B449" s="16"/>
      <c r="C449" s="18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" customHeight="1">
      <c r="A450" s="17"/>
      <c r="B450" s="16"/>
      <c r="C450" s="18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" customHeight="1">
      <c r="A451" s="17"/>
      <c r="B451" s="16"/>
      <c r="C451" s="18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" customHeight="1">
      <c r="A452" s="17"/>
      <c r="B452" s="16"/>
      <c r="C452" s="18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" customHeight="1">
      <c r="A453" s="17"/>
      <c r="B453" s="16"/>
      <c r="C453" s="18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" customHeight="1">
      <c r="A454" s="17"/>
      <c r="B454" s="16"/>
      <c r="C454" s="18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" customHeight="1">
      <c r="A455" s="17"/>
      <c r="B455" s="16"/>
      <c r="C455" s="18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" customHeight="1">
      <c r="A456" s="17"/>
      <c r="B456" s="16"/>
      <c r="C456" s="18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" customHeight="1">
      <c r="A457" s="17"/>
      <c r="B457" s="16"/>
      <c r="C457" s="18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" customHeight="1">
      <c r="A458" s="17"/>
      <c r="B458" s="16"/>
      <c r="C458" s="18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" customHeight="1">
      <c r="A459" s="17"/>
      <c r="B459" s="16"/>
      <c r="C459" s="18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" customHeight="1">
      <c r="A460" s="17"/>
      <c r="B460" s="16"/>
      <c r="C460" s="18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" customHeight="1">
      <c r="A461" s="17"/>
      <c r="B461" s="16"/>
      <c r="C461" s="18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" customHeight="1">
      <c r="A462" s="17"/>
      <c r="B462" s="16"/>
      <c r="C462" s="18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" customHeight="1">
      <c r="A463" s="17"/>
      <c r="B463" s="16"/>
      <c r="C463" s="18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" customHeight="1">
      <c r="A464" s="17"/>
      <c r="B464" s="16"/>
      <c r="C464" s="18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" customHeight="1">
      <c r="A465" s="17"/>
      <c r="B465" s="16"/>
      <c r="C465" s="18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" customHeight="1">
      <c r="A466" s="17"/>
      <c r="B466" s="16"/>
      <c r="C466" s="18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" customHeight="1">
      <c r="A467" s="17"/>
      <c r="B467" s="16"/>
      <c r="C467" s="18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" customHeight="1">
      <c r="A468" s="17"/>
      <c r="B468" s="16"/>
      <c r="C468" s="18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" customHeight="1">
      <c r="A469" s="17"/>
      <c r="B469" s="16"/>
      <c r="C469" s="18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" customHeight="1">
      <c r="A470" s="17"/>
      <c r="B470" s="16"/>
      <c r="C470" s="18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" customHeight="1">
      <c r="A471" s="17"/>
      <c r="B471" s="16"/>
      <c r="C471" s="18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" customHeight="1">
      <c r="A472" s="17"/>
      <c r="B472" s="16"/>
      <c r="C472" s="18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" customHeight="1">
      <c r="A473" s="17"/>
      <c r="B473" s="16"/>
      <c r="C473" s="18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" customHeight="1">
      <c r="A474" s="17"/>
      <c r="B474" s="16"/>
      <c r="C474" s="18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" customHeight="1">
      <c r="A475" s="17"/>
      <c r="B475" s="16"/>
      <c r="C475" s="18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" customHeight="1">
      <c r="A476" s="17"/>
      <c r="B476" s="16"/>
      <c r="C476" s="18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" customHeight="1">
      <c r="A477" s="17"/>
      <c r="B477" s="16"/>
      <c r="C477" s="18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" customHeight="1">
      <c r="A478" s="17"/>
      <c r="B478" s="16"/>
      <c r="C478" s="18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" customHeight="1">
      <c r="A479" s="17"/>
      <c r="B479" s="16"/>
      <c r="C479" s="18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" customHeight="1">
      <c r="A480" s="17"/>
      <c r="B480" s="16"/>
      <c r="C480" s="18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" customHeight="1">
      <c r="A481" s="17"/>
      <c r="B481" s="16"/>
      <c r="C481" s="18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" customHeight="1">
      <c r="A482" s="17"/>
      <c r="B482" s="16"/>
      <c r="C482" s="18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" customHeight="1">
      <c r="A483" s="17"/>
      <c r="B483" s="16"/>
      <c r="C483" s="18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" customHeight="1">
      <c r="A484" s="17"/>
      <c r="B484" s="16"/>
      <c r="C484" s="18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" customHeight="1">
      <c r="A485" s="17"/>
      <c r="B485" s="16"/>
      <c r="C485" s="18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" customHeight="1">
      <c r="A486" s="17"/>
      <c r="B486" s="16"/>
      <c r="C486" s="18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" customHeight="1">
      <c r="A487" s="17"/>
      <c r="B487" s="16"/>
      <c r="C487" s="18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" customHeight="1">
      <c r="A488" s="17"/>
      <c r="B488" s="16"/>
      <c r="C488" s="18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" customHeight="1">
      <c r="A489" s="17"/>
      <c r="B489" s="16"/>
      <c r="C489" s="18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" customHeight="1">
      <c r="A490" s="17"/>
      <c r="B490" s="16"/>
      <c r="C490" s="18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" customHeight="1">
      <c r="A491" s="17"/>
      <c r="B491" s="16"/>
      <c r="C491" s="18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" customHeight="1">
      <c r="A492" s="17"/>
      <c r="B492" s="16"/>
      <c r="C492" s="18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" customHeight="1">
      <c r="A493" s="17"/>
      <c r="B493" s="16"/>
      <c r="C493" s="18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" customHeight="1">
      <c r="A494" s="17"/>
      <c r="B494" s="16"/>
      <c r="C494" s="18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" customHeight="1">
      <c r="A495" s="17"/>
      <c r="B495" s="16"/>
      <c r="C495" s="18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" customHeight="1">
      <c r="A496" s="17"/>
      <c r="B496" s="16"/>
      <c r="C496" s="18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" customHeight="1">
      <c r="A497" s="17"/>
      <c r="B497" s="16"/>
      <c r="C497" s="18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" customHeight="1">
      <c r="A498" s="17"/>
      <c r="B498" s="16"/>
      <c r="C498" s="18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" customHeight="1">
      <c r="A499" s="17"/>
      <c r="B499" s="16"/>
      <c r="C499" s="18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" customHeight="1">
      <c r="A500" s="17"/>
      <c r="B500" s="16"/>
      <c r="C500" s="18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" customHeight="1">
      <c r="A501" s="17"/>
      <c r="B501" s="16"/>
      <c r="C501" s="18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" customHeight="1">
      <c r="A502" s="17"/>
      <c r="B502" s="16"/>
      <c r="C502" s="18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" customHeight="1">
      <c r="A503" s="17"/>
      <c r="B503" s="16"/>
      <c r="C503" s="18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" customHeight="1">
      <c r="A504" s="17"/>
      <c r="B504" s="16"/>
      <c r="C504" s="18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" customHeight="1">
      <c r="A505" s="17"/>
      <c r="B505" s="16"/>
      <c r="C505" s="18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" customHeight="1">
      <c r="A506" s="17"/>
      <c r="B506" s="16"/>
      <c r="C506" s="18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" customHeight="1">
      <c r="A507" s="17"/>
      <c r="B507" s="16"/>
      <c r="C507" s="18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" customHeight="1">
      <c r="A508" s="17"/>
      <c r="B508" s="16"/>
      <c r="C508" s="18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" customHeight="1">
      <c r="A509" s="17"/>
      <c r="B509" s="16"/>
      <c r="C509" s="18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" customHeight="1">
      <c r="A510" s="17"/>
      <c r="B510" s="16"/>
      <c r="C510" s="18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" customHeight="1">
      <c r="A511" s="17"/>
      <c r="B511" s="16"/>
      <c r="C511" s="18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" customHeight="1">
      <c r="A512" s="17"/>
      <c r="B512" s="16"/>
      <c r="C512" s="18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" customHeight="1">
      <c r="A513" s="17"/>
      <c r="B513" s="16"/>
      <c r="C513" s="18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" customHeight="1">
      <c r="A514" s="17"/>
      <c r="B514" s="16"/>
      <c r="C514" s="18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" customHeight="1">
      <c r="A515" s="17"/>
      <c r="B515" s="16"/>
      <c r="C515" s="18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" customHeight="1">
      <c r="A516" s="17"/>
      <c r="B516" s="16"/>
      <c r="C516" s="18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" customHeight="1">
      <c r="A517" s="17"/>
      <c r="B517" s="16"/>
      <c r="C517" s="18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" customHeight="1">
      <c r="A518" s="17"/>
      <c r="B518" s="16"/>
      <c r="C518" s="18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" customHeight="1">
      <c r="A519" s="17"/>
      <c r="B519" s="16"/>
      <c r="C519" s="18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" customHeight="1">
      <c r="A520" s="17"/>
      <c r="B520" s="16"/>
      <c r="C520" s="18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" customHeight="1">
      <c r="A521" s="17"/>
      <c r="B521" s="16"/>
      <c r="C521" s="18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" customHeight="1">
      <c r="A522" s="17"/>
      <c r="B522" s="16"/>
      <c r="C522" s="18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" customHeight="1">
      <c r="A523" s="17"/>
      <c r="B523" s="16"/>
      <c r="C523" s="18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" customHeight="1">
      <c r="A524" s="17"/>
      <c r="B524" s="16"/>
      <c r="C524" s="18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" customHeight="1">
      <c r="A525" s="17"/>
      <c r="B525" s="16"/>
      <c r="C525" s="18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" customHeight="1">
      <c r="A526" s="17"/>
      <c r="B526" s="16"/>
      <c r="C526" s="18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" customHeight="1">
      <c r="A527" s="17"/>
      <c r="B527" s="16"/>
      <c r="C527" s="18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" customHeight="1">
      <c r="A528" s="17"/>
      <c r="B528" s="16"/>
      <c r="C528" s="18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" customHeight="1">
      <c r="A529" s="17"/>
      <c r="B529" s="16"/>
      <c r="C529" s="18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" customHeight="1">
      <c r="A530" s="17"/>
      <c r="B530" s="16"/>
      <c r="C530" s="18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" customHeight="1">
      <c r="A531" s="17"/>
      <c r="B531" s="16"/>
      <c r="C531" s="18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" customHeight="1">
      <c r="A532" s="17"/>
      <c r="B532" s="16"/>
      <c r="C532" s="18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" customHeight="1">
      <c r="A533" s="17"/>
      <c r="B533" s="16"/>
      <c r="C533" s="18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" customHeight="1">
      <c r="A534" s="17"/>
      <c r="B534" s="16"/>
      <c r="C534" s="18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" customHeight="1">
      <c r="A535" s="17"/>
      <c r="B535" s="16"/>
      <c r="C535" s="18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" customHeight="1">
      <c r="A536" s="17"/>
      <c r="B536" s="16"/>
      <c r="C536" s="18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" customHeight="1">
      <c r="A537" s="17"/>
      <c r="B537" s="16"/>
      <c r="C537" s="18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" customHeight="1">
      <c r="A538" s="17"/>
      <c r="B538" s="16"/>
      <c r="C538" s="18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" customHeight="1">
      <c r="A539" s="17"/>
      <c r="B539" s="16"/>
      <c r="C539" s="18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" customHeight="1">
      <c r="A540" s="17"/>
      <c r="B540" s="16"/>
      <c r="C540" s="18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" customHeight="1">
      <c r="A541" s="17"/>
      <c r="B541" s="16"/>
      <c r="C541" s="18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" customHeight="1">
      <c r="A542" s="17"/>
      <c r="B542" s="16"/>
      <c r="C542" s="18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" customHeight="1">
      <c r="A543" s="17"/>
      <c r="B543" s="16"/>
      <c r="C543" s="18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" customHeight="1">
      <c r="A544" s="17"/>
      <c r="B544" s="16"/>
      <c r="C544" s="18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" customHeight="1">
      <c r="A545" s="17"/>
      <c r="B545" s="16"/>
      <c r="C545" s="18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" customHeight="1">
      <c r="A546" s="17"/>
      <c r="B546" s="16"/>
      <c r="C546" s="18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" customHeight="1">
      <c r="A547" s="17"/>
      <c r="B547" s="16"/>
      <c r="C547" s="18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" customHeight="1">
      <c r="A548" s="17"/>
      <c r="B548" s="16"/>
      <c r="C548" s="18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" customHeight="1">
      <c r="A549" s="17"/>
      <c r="B549" s="16"/>
      <c r="C549" s="18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" customHeight="1">
      <c r="A550" s="17"/>
      <c r="B550" s="16"/>
      <c r="C550" s="18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" customHeight="1">
      <c r="A551" s="17"/>
      <c r="B551" s="16"/>
      <c r="C551" s="18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" customHeight="1">
      <c r="A552" s="17"/>
      <c r="B552" s="16"/>
      <c r="C552" s="18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" customHeight="1">
      <c r="A553" s="17"/>
      <c r="B553" s="16"/>
      <c r="C553" s="18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" customHeight="1">
      <c r="A554" s="17"/>
      <c r="B554" s="16"/>
      <c r="C554" s="18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" customHeight="1">
      <c r="A555" s="17"/>
      <c r="B555" s="16"/>
      <c r="C555" s="18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" customHeight="1">
      <c r="A556" s="17"/>
      <c r="B556" s="16"/>
      <c r="C556" s="18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" customHeight="1">
      <c r="A557" s="17"/>
      <c r="B557" s="16"/>
      <c r="C557" s="18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" customHeight="1">
      <c r="A558" s="17"/>
      <c r="B558" s="16"/>
      <c r="C558" s="18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" customHeight="1">
      <c r="A559" s="17"/>
      <c r="B559" s="16"/>
      <c r="C559" s="18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" customHeight="1">
      <c r="A560" s="17"/>
      <c r="B560" s="16"/>
      <c r="C560" s="18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" customHeight="1">
      <c r="A561" s="17"/>
      <c r="B561" s="16"/>
      <c r="C561" s="18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" customHeight="1">
      <c r="A562" s="17"/>
      <c r="B562" s="16"/>
      <c r="C562" s="18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" customHeight="1">
      <c r="A563" s="17"/>
      <c r="B563" s="16"/>
      <c r="C563" s="18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" customHeight="1">
      <c r="A564" s="17"/>
      <c r="B564" s="16"/>
      <c r="C564" s="18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" customHeight="1">
      <c r="A565" s="17"/>
      <c r="B565" s="16"/>
      <c r="C565" s="18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" customHeight="1">
      <c r="A566" s="17"/>
      <c r="B566" s="16"/>
      <c r="C566" s="18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" customHeight="1">
      <c r="A567" s="17"/>
      <c r="B567" s="16"/>
      <c r="C567" s="18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" customHeight="1">
      <c r="A568" s="17"/>
      <c r="B568" s="16"/>
      <c r="C568" s="18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" customHeight="1">
      <c r="A569" s="17"/>
      <c r="B569" s="16"/>
      <c r="C569" s="18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" customHeight="1">
      <c r="A570" s="17"/>
      <c r="B570" s="16"/>
      <c r="C570" s="18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" customHeight="1">
      <c r="A571" s="17"/>
      <c r="B571" s="16"/>
      <c r="C571" s="18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" customHeight="1">
      <c r="A572" s="17"/>
      <c r="B572" s="16"/>
      <c r="C572" s="18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" customHeight="1">
      <c r="A573" s="17"/>
      <c r="B573" s="16"/>
      <c r="C573" s="18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" customHeight="1">
      <c r="A574" s="17"/>
      <c r="B574" s="16"/>
      <c r="C574" s="18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" customHeight="1">
      <c r="A575" s="17"/>
      <c r="B575" s="16"/>
      <c r="C575" s="18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" customHeight="1">
      <c r="A576" s="17"/>
      <c r="B576" s="16"/>
      <c r="C576" s="18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" customHeight="1">
      <c r="A577" s="17"/>
      <c r="B577" s="16"/>
      <c r="C577" s="18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" customHeight="1">
      <c r="A578" s="17"/>
      <c r="B578" s="16"/>
      <c r="C578" s="18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" customHeight="1">
      <c r="A579" s="17"/>
      <c r="B579" s="16"/>
      <c r="C579" s="18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" customHeight="1">
      <c r="A580" s="17"/>
      <c r="B580" s="16"/>
      <c r="C580" s="18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" customHeight="1">
      <c r="A581" s="17"/>
      <c r="B581" s="16"/>
      <c r="C581" s="18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" customHeight="1">
      <c r="A582" s="17"/>
      <c r="B582" s="16"/>
      <c r="C582" s="18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" customHeight="1">
      <c r="A583" s="17"/>
      <c r="B583" s="16"/>
      <c r="C583" s="18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" customHeight="1">
      <c r="A584" s="17"/>
      <c r="B584" s="16"/>
      <c r="C584" s="18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" customHeight="1">
      <c r="A585" s="17"/>
      <c r="B585" s="16"/>
      <c r="C585" s="18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" customHeight="1">
      <c r="A586" s="17"/>
      <c r="B586" s="16"/>
      <c r="C586" s="18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" customHeight="1">
      <c r="A587" s="17"/>
      <c r="B587" s="16"/>
      <c r="C587" s="18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" customHeight="1">
      <c r="A588" s="17"/>
      <c r="B588" s="16"/>
      <c r="C588" s="18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" customHeight="1">
      <c r="A589" s="17"/>
      <c r="B589" s="16"/>
      <c r="C589" s="18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" customHeight="1">
      <c r="A590" s="17"/>
      <c r="B590" s="16"/>
      <c r="C590" s="18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" customHeight="1">
      <c r="A591" s="17"/>
      <c r="B591" s="16"/>
      <c r="C591" s="18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" customHeight="1">
      <c r="A592" s="17"/>
      <c r="B592" s="16"/>
      <c r="C592" s="18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" customHeight="1">
      <c r="A593" s="17"/>
      <c r="B593" s="16"/>
      <c r="C593" s="18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" customHeight="1">
      <c r="A594" s="17"/>
      <c r="B594" s="16"/>
      <c r="C594" s="18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" customHeight="1">
      <c r="A595" s="17"/>
      <c r="B595" s="16"/>
      <c r="C595" s="18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" customHeight="1">
      <c r="A596" s="17"/>
      <c r="B596" s="16"/>
      <c r="C596" s="18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" customHeight="1">
      <c r="A597" s="17"/>
      <c r="B597" s="16"/>
      <c r="C597" s="18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" customHeight="1">
      <c r="A598" s="17"/>
      <c r="B598" s="16"/>
      <c r="C598" s="18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" customHeight="1">
      <c r="A599" s="17"/>
      <c r="B599" s="16"/>
      <c r="C599" s="18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" customHeight="1">
      <c r="A600" s="17"/>
      <c r="B600" s="16"/>
      <c r="C600" s="18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" customHeight="1">
      <c r="A601" s="17"/>
      <c r="B601" s="16"/>
      <c r="C601" s="18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" customHeight="1">
      <c r="A602" s="17"/>
      <c r="B602" s="16"/>
      <c r="C602" s="18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" customHeight="1">
      <c r="A603" s="17"/>
      <c r="B603" s="16"/>
      <c r="C603" s="18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" customHeight="1">
      <c r="A604" s="17"/>
      <c r="B604" s="16"/>
      <c r="C604" s="18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" customHeight="1">
      <c r="A605" s="17"/>
      <c r="B605" s="16"/>
      <c r="C605" s="18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" customHeight="1">
      <c r="A606" s="17"/>
      <c r="B606" s="16"/>
      <c r="C606" s="18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" customHeight="1">
      <c r="A607" s="17"/>
      <c r="B607" s="16"/>
      <c r="C607" s="18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" customHeight="1">
      <c r="A608" s="17"/>
      <c r="B608" s="16"/>
      <c r="C608" s="18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" customHeight="1">
      <c r="A609" s="17"/>
      <c r="B609" s="16"/>
      <c r="C609" s="18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" customHeight="1">
      <c r="A610" s="17"/>
      <c r="B610" s="16"/>
      <c r="C610" s="18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" customHeight="1">
      <c r="A611" s="17"/>
      <c r="B611" s="16"/>
      <c r="C611" s="18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" customHeight="1">
      <c r="A612" s="17"/>
      <c r="B612" s="16"/>
      <c r="C612" s="18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" customHeight="1">
      <c r="A613" s="17"/>
      <c r="B613" s="16"/>
      <c r="C613" s="18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" customHeight="1">
      <c r="A614" s="17"/>
      <c r="B614" s="16"/>
      <c r="C614" s="18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" customHeight="1">
      <c r="A615" s="17"/>
      <c r="B615" s="16"/>
      <c r="C615" s="18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" customHeight="1">
      <c r="A616" s="17"/>
      <c r="B616" s="16"/>
      <c r="C616" s="18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" customHeight="1">
      <c r="A617" s="17"/>
      <c r="B617" s="16"/>
      <c r="C617" s="18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" customHeight="1">
      <c r="A618" s="17"/>
      <c r="B618" s="16"/>
      <c r="C618" s="18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" customHeight="1">
      <c r="A619" s="17"/>
      <c r="B619" s="16"/>
      <c r="C619" s="18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" customHeight="1">
      <c r="A620" s="17"/>
      <c r="B620" s="16"/>
      <c r="C620" s="18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" customHeight="1">
      <c r="A621" s="17"/>
      <c r="B621" s="16"/>
      <c r="C621" s="18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" customHeight="1">
      <c r="A622" s="17"/>
      <c r="B622" s="16"/>
      <c r="C622" s="18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" customHeight="1">
      <c r="A623" s="17"/>
      <c r="B623" s="16"/>
      <c r="C623" s="18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" customHeight="1">
      <c r="A624" s="17"/>
      <c r="B624" s="16"/>
      <c r="C624" s="18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" customHeight="1">
      <c r="A625" s="17"/>
      <c r="B625" s="16"/>
      <c r="C625" s="18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" customHeight="1">
      <c r="A626" s="17"/>
      <c r="B626" s="16"/>
      <c r="C626" s="18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" customHeight="1">
      <c r="A627" s="17"/>
      <c r="B627" s="16"/>
      <c r="C627" s="18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" customHeight="1">
      <c r="A628" s="17"/>
      <c r="B628" s="16"/>
      <c r="C628" s="18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" customHeight="1">
      <c r="A629" s="17"/>
      <c r="B629" s="16"/>
      <c r="C629" s="18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" customHeight="1">
      <c r="A630" s="17"/>
      <c r="B630" s="16"/>
      <c r="C630" s="18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" customHeight="1">
      <c r="A631" s="17"/>
      <c r="B631" s="16"/>
      <c r="C631" s="18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" customHeight="1">
      <c r="A632" s="17"/>
      <c r="B632" s="16"/>
      <c r="C632" s="18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" customHeight="1">
      <c r="A633" s="17"/>
      <c r="B633" s="16"/>
      <c r="C633" s="18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" customHeight="1">
      <c r="A634" s="17"/>
      <c r="B634" s="16"/>
      <c r="C634" s="18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" customHeight="1">
      <c r="A635" s="17"/>
      <c r="B635" s="16"/>
      <c r="C635" s="18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" customHeight="1">
      <c r="A636" s="17"/>
      <c r="B636" s="16"/>
      <c r="C636" s="18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" customHeight="1">
      <c r="A637" s="17"/>
      <c r="B637" s="16"/>
      <c r="C637" s="18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" customHeight="1">
      <c r="A638" s="17"/>
      <c r="B638" s="16"/>
      <c r="C638" s="18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" customHeight="1">
      <c r="A639" s="17"/>
      <c r="B639" s="16"/>
      <c r="C639" s="18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" customHeight="1">
      <c r="A640" s="17"/>
      <c r="B640" s="16"/>
      <c r="C640" s="18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" customHeight="1">
      <c r="A641" s="17"/>
      <c r="B641" s="16"/>
      <c r="C641" s="18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" customHeight="1">
      <c r="A642" s="17"/>
      <c r="B642" s="16"/>
      <c r="C642" s="18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" customHeight="1">
      <c r="A643" s="17"/>
      <c r="B643" s="16"/>
      <c r="C643" s="18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" customHeight="1">
      <c r="A644" s="17"/>
      <c r="B644" s="16"/>
      <c r="C644" s="18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" customHeight="1">
      <c r="A645" s="17"/>
      <c r="B645" s="16"/>
      <c r="C645" s="18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" customHeight="1">
      <c r="A646" s="17"/>
      <c r="B646" s="16"/>
      <c r="C646" s="18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" customHeight="1">
      <c r="A647" s="17"/>
      <c r="B647" s="16"/>
      <c r="C647" s="18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" customHeight="1">
      <c r="A648" s="17"/>
      <c r="B648" s="16"/>
      <c r="C648" s="18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" customHeight="1">
      <c r="A649" s="17"/>
      <c r="B649" s="16"/>
      <c r="C649" s="18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" customHeight="1">
      <c r="A650" s="17"/>
      <c r="B650" s="16"/>
      <c r="C650" s="18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" customHeight="1">
      <c r="A651" s="17"/>
      <c r="B651" s="16"/>
      <c r="C651" s="18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" customHeight="1">
      <c r="A652" s="17"/>
      <c r="B652" s="16"/>
      <c r="C652" s="18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" customHeight="1">
      <c r="A653" s="17"/>
      <c r="B653" s="16"/>
      <c r="C653" s="18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" customHeight="1">
      <c r="A654" s="17"/>
      <c r="B654" s="16"/>
      <c r="C654" s="18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" customHeight="1">
      <c r="A655" s="17"/>
      <c r="B655" s="16"/>
      <c r="C655" s="18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" customHeight="1">
      <c r="A656" s="17"/>
      <c r="B656" s="16"/>
      <c r="C656" s="18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" customHeight="1">
      <c r="A657" s="17"/>
      <c r="B657" s="16"/>
      <c r="C657" s="18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" customHeight="1">
      <c r="A658" s="17"/>
      <c r="B658" s="16"/>
      <c r="C658" s="18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" customHeight="1">
      <c r="A659" s="17"/>
      <c r="B659" s="16"/>
      <c r="C659" s="18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" customHeight="1">
      <c r="A660" s="17"/>
      <c r="B660" s="16"/>
      <c r="C660" s="18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" customHeight="1">
      <c r="A661" s="17"/>
      <c r="B661" s="16"/>
      <c r="C661" s="18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" customHeight="1">
      <c r="A662" s="17"/>
      <c r="B662" s="16"/>
      <c r="C662" s="18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" customHeight="1">
      <c r="A663" s="17"/>
      <c r="B663" s="16"/>
      <c r="C663" s="18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" customHeight="1">
      <c r="A664" s="17"/>
      <c r="B664" s="16"/>
      <c r="C664" s="18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" customHeight="1">
      <c r="A665" s="17"/>
      <c r="B665" s="16"/>
      <c r="C665" s="18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" customHeight="1">
      <c r="A666" s="17"/>
      <c r="B666" s="16"/>
      <c r="C666" s="18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" customHeight="1">
      <c r="A667" s="17"/>
      <c r="B667" s="16"/>
      <c r="C667" s="18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" customHeight="1">
      <c r="A668" s="17"/>
      <c r="B668" s="16"/>
      <c r="C668" s="18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" customHeight="1">
      <c r="A669" s="17"/>
      <c r="B669" s="16"/>
      <c r="C669" s="18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" customHeight="1">
      <c r="A670" s="17"/>
      <c r="B670" s="16"/>
      <c r="C670" s="18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" customHeight="1">
      <c r="A671" s="17"/>
      <c r="B671" s="16"/>
      <c r="C671" s="18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" customHeight="1">
      <c r="A672" s="17"/>
      <c r="B672" s="16"/>
      <c r="C672" s="18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" customHeight="1">
      <c r="A673" s="17"/>
      <c r="B673" s="16"/>
      <c r="C673" s="18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" customHeight="1">
      <c r="A674" s="17"/>
      <c r="B674" s="16"/>
      <c r="C674" s="18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" customHeight="1">
      <c r="A675" s="17"/>
      <c r="B675" s="16"/>
      <c r="C675" s="18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" customHeight="1">
      <c r="A676" s="17"/>
      <c r="B676" s="16"/>
      <c r="C676" s="18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" customHeight="1">
      <c r="A677" s="17"/>
      <c r="B677" s="16"/>
      <c r="C677" s="18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" customHeight="1">
      <c r="A678" s="17"/>
      <c r="B678" s="16"/>
      <c r="C678" s="18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" customHeight="1">
      <c r="A679" s="17"/>
      <c r="B679" s="16"/>
      <c r="C679" s="18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" customHeight="1">
      <c r="A680" s="17"/>
      <c r="B680" s="16"/>
      <c r="C680" s="18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" customHeight="1">
      <c r="A681" s="17"/>
      <c r="B681" s="16"/>
      <c r="C681" s="18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" customHeight="1">
      <c r="A682" s="17"/>
      <c r="B682" s="16"/>
      <c r="C682" s="18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" customHeight="1">
      <c r="A683" s="17"/>
      <c r="B683" s="16"/>
      <c r="C683" s="18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" customHeight="1">
      <c r="A684" s="17"/>
      <c r="B684" s="16"/>
      <c r="C684" s="18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" customHeight="1">
      <c r="A685" s="17"/>
      <c r="B685" s="16"/>
      <c r="C685" s="18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" customHeight="1">
      <c r="A686" s="17"/>
      <c r="B686" s="16"/>
      <c r="C686" s="18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" customHeight="1">
      <c r="A687" s="17"/>
      <c r="B687" s="16"/>
      <c r="C687" s="18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" customHeight="1">
      <c r="A688" s="17"/>
      <c r="B688" s="16"/>
      <c r="C688" s="18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" customHeight="1">
      <c r="A689" s="17"/>
      <c r="B689" s="16"/>
      <c r="C689" s="18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" customHeight="1">
      <c r="A690" s="17"/>
      <c r="B690" s="16"/>
      <c r="C690" s="18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" customHeight="1">
      <c r="A691" s="17"/>
      <c r="B691" s="16"/>
      <c r="C691" s="18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" customHeight="1">
      <c r="A692" s="17"/>
      <c r="B692" s="16"/>
      <c r="C692" s="18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" customHeight="1">
      <c r="A693" s="17"/>
      <c r="B693" s="16"/>
      <c r="C693" s="18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" customHeight="1">
      <c r="A694" s="17"/>
      <c r="B694" s="16"/>
      <c r="C694" s="18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" customHeight="1">
      <c r="A695" s="17"/>
      <c r="B695" s="16"/>
      <c r="C695" s="18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" customHeight="1">
      <c r="A696" s="17"/>
      <c r="B696" s="16"/>
      <c r="C696" s="18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" customHeight="1">
      <c r="A697" s="17"/>
      <c r="B697" s="16"/>
      <c r="C697" s="18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" customHeight="1">
      <c r="A698" s="17"/>
      <c r="B698" s="16"/>
      <c r="C698" s="18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" customHeight="1">
      <c r="A699" s="17"/>
      <c r="B699" s="16"/>
      <c r="C699" s="18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" customHeight="1">
      <c r="A700" s="17"/>
      <c r="B700" s="16"/>
      <c r="C700" s="18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" customHeight="1">
      <c r="A701" s="17"/>
      <c r="B701" s="16"/>
      <c r="C701" s="18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" customHeight="1">
      <c r="A702" s="17"/>
      <c r="B702" s="16"/>
      <c r="C702" s="18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" customHeight="1">
      <c r="A703" s="17"/>
      <c r="B703" s="16"/>
      <c r="C703" s="18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" customHeight="1">
      <c r="A704" s="17"/>
      <c r="B704" s="16"/>
      <c r="C704" s="18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" customHeight="1">
      <c r="A705" s="17"/>
      <c r="B705" s="16"/>
      <c r="C705" s="18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" customHeight="1">
      <c r="A706" s="17"/>
      <c r="B706" s="16"/>
      <c r="C706" s="18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" customHeight="1">
      <c r="A707" s="17"/>
      <c r="B707" s="16"/>
      <c r="C707" s="18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" customHeight="1">
      <c r="A708" s="17"/>
      <c r="B708" s="16"/>
      <c r="C708" s="18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" customHeight="1">
      <c r="A709" s="17"/>
      <c r="B709" s="16"/>
      <c r="C709" s="18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" customHeight="1">
      <c r="A710" s="17"/>
      <c r="B710" s="16"/>
      <c r="C710" s="18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" customHeight="1">
      <c r="A711" s="17"/>
      <c r="B711" s="16"/>
      <c r="C711" s="18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" customHeight="1">
      <c r="A712" s="17"/>
      <c r="B712" s="16"/>
      <c r="C712" s="18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" customHeight="1">
      <c r="A713" s="17"/>
      <c r="B713" s="16"/>
      <c r="C713" s="18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" customHeight="1">
      <c r="A714" s="17"/>
      <c r="B714" s="16"/>
      <c r="C714" s="18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" customHeight="1">
      <c r="A715" s="17"/>
      <c r="B715" s="16"/>
      <c r="C715" s="18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" customHeight="1">
      <c r="A716" s="17"/>
      <c r="B716" s="16"/>
      <c r="C716" s="18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" customHeight="1">
      <c r="A717" s="17"/>
      <c r="B717" s="16"/>
      <c r="C717" s="18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" customHeight="1">
      <c r="A718" s="17"/>
      <c r="B718" s="16"/>
      <c r="C718" s="18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" customHeight="1">
      <c r="A719" s="17"/>
      <c r="B719" s="16"/>
      <c r="C719" s="18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" customHeight="1">
      <c r="A720" s="17"/>
      <c r="B720" s="16"/>
      <c r="C720" s="18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" customHeight="1">
      <c r="A721" s="17"/>
      <c r="B721" s="16"/>
      <c r="C721" s="18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" customHeight="1">
      <c r="A722" s="17"/>
      <c r="B722" s="16"/>
      <c r="C722" s="18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" customHeight="1">
      <c r="A723" s="17"/>
      <c r="B723" s="16"/>
      <c r="C723" s="18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" customHeight="1">
      <c r="A724" s="17"/>
      <c r="B724" s="16"/>
      <c r="C724" s="18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" customHeight="1">
      <c r="A725" s="17"/>
      <c r="B725" s="16"/>
      <c r="C725" s="18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" customHeight="1">
      <c r="A726" s="17"/>
      <c r="B726" s="16"/>
      <c r="C726" s="18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" customHeight="1">
      <c r="A727" s="17"/>
      <c r="B727" s="16"/>
      <c r="C727" s="18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" customHeight="1">
      <c r="A728" s="17"/>
      <c r="B728" s="16"/>
      <c r="C728" s="18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" customHeight="1">
      <c r="A729" s="17"/>
      <c r="B729" s="16"/>
      <c r="C729" s="18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" customHeight="1">
      <c r="A730" s="17"/>
      <c r="B730" s="16"/>
      <c r="C730" s="18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" customHeight="1">
      <c r="A731" s="17"/>
      <c r="B731" s="16"/>
      <c r="C731" s="18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" customHeight="1">
      <c r="A732" s="17"/>
      <c r="B732" s="16"/>
      <c r="C732" s="18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" customHeight="1">
      <c r="A733" s="17"/>
      <c r="B733" s="16"/>
      <c r="C733" s="18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" customHeight="1">
      <c r="A734" s="17"/>
      <c r="B734" s="16"/>
      <c r="C734" s="18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" customHeight="1">
      <c r="A735" s="17"/>
      <c r="B735" s="16"/>
      <c r="C735" s="18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" customHeight="1">
      <c r="A736" s="17"/>
      <c r="B736" s="16"/>
      <c r="C736" s="18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" customHeight="1">
      <c r="A737" s="17"/>
      <c r="B737" s="16"/>
      <c r="C737" s="18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" customHeight="1">
      <c r="A738" s="17"/>
      <c r="B738" s="16"/>
      <c r="C738" s="18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" customHeight="1">
      <c r="A739" s="17"/>
      <c r="B739" s="16"/>
      <c r="C739" s="18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" customHeight="1">
      <c r="A740" s="17"/>
      <c r="B740" s="16"/>
      <c r="C740" s="18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" customHeight="1">
      <c r="A741" s="17"/>
      <c r="B741" s="16"/>
      <c r="C741" s="18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" customHeight="1">
      <c r="A742" s="17"/>
      <c r="B742" s="16"/>
      <c r="C742" s="18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" customHeight="1">
      <c r="A743" s="17"/>
      <c r="B743" s="16"/>
      <c r="C743" s="18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" customHeight="1">
      <c r="A744" s="17"/>
      <c r="B744" s="16"/>
      <c r="C744" s="18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" customHeight="1">
      <c r="A745" s="17"/>
      <c r="B745" s="16"/>
      <c r="C745" s="18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" customHeight="1">
      <c r="A746" s="17"/>
      <c r="B746" s="16"/>
      <c r="C746" s="18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" customHeight="1">
      <c r="A747" s="17"/>
      <c r="B747" s="16"/>
      <c r="C747" s="18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" customHeight="1">
      <c r="A748" s="17"/>
      <c r="B748" s="16"/>
      <c r="C748" s="18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" customHeight="1">
      <c r="A749" s="17"/>
      <c r="B749" s="16"/>
      <c r="C749" s="18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" customHeight="1">
      <c r="A750" s="17"/>
      <c r="B750" s="16"/>
      <c r="C750" s="18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" customHeight="1">
      <c r="A751" s="17"/>
      <c r="B751" s="16"/>
      <c r="C751" s="18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" customHeight="1">
      <c r="A752" s="17"/>
      <c r="B752" s="16"/>
      <c r="C752" s="18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" customHeight="1">
      <c r="A753" s="17"/>
      <c r="B753" s="16"/>
      <c r="C753" s="18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" customHeight="1">
      <c r="A754" s="17"/>
      <c r="B754" s="16"/>
      <c r="C754" s="18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" customHeight="1">
      <c r="A755" s="17"/>
      <c r="B755" s="16"/>
      <c r="C755" s="18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" customHeight="1">
      <c r="A756" s="17"/>
      <c r="B756" s="16"/>
      <c r="C756" s="18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" customHeight="1">
      <c r="A757" s="17"/>
      <c r="B757" s="16"/>
      <c r="C757" s="18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" customHeight="1">
      <c r="A758" s="17"/>
      <c r="B758" s="16"/>
      <c r="C758" s="18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" customHeight="1">
      <c r="A759" s="17"/>
      <c r="B759" s="16"/>
      <c r="C759" s="18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" customHeight="1">
      <c r="A760" s="17"/>
      <c r="B760" s="16"/>
      <c r="C760" s="18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" customHeight="1">
      <c r="A761" s="17"/>
      <c r="B761" s="16"/>
      <c r="C761" s="18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" customHeight="1">
      <c r="A762" s="17"/>
      <c r="B762" s="16"/>
      <c r="C762" s="18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" customHeight="1">
      <c r="A763" s="17"/>
      <c r="B763" s="16"/>
      <c r="C763" s="18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" customHeight="1">
      <c r="A764" s="17"/>
      <c r="B764" s="16"/>
      <c r="C764" s="18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" customHeight="1">
      <c r="A765" s="17"/>
      <c r="B765" s="16"/>
      <c r="C765" s="18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" customHeight="1">
      <c r="A766" s="17"/>
      <c r="B766" s="16"/>
      <c r="C766" s="18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" customHeight="1">
      <c r="A767" s="17"/>
      <c r="B767" s="16"/>
      <c r="C767" s="18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" customHeight="1">
      <c r="A768" s="17"/>
      <c r="B768" s="16"/>
      <c r="C768" s="18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" customHeight="1">
      <c r="A769" s="17"/>
      <c r="B769" s="16"/>
      <c r="C769" s="18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" customHeight="1">
      <c r="A770" s="17"/>
      <c r="B770" s="16"/>
      <c r="C770" s="18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" customHeight="1">
      <c r="A771" s="17"/>
      <c r="B771" s="16"/>
      <c r="C771" s="18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" customHeight="1">
      <c r="A772" s="17"/>
      <c r="B772" s="16"/>
      <c r="C772" s="18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" customHeight="1">
      <c r="A773" s="17"/>
      <c r="B773" s="16"/>
      <c r="C773" s="18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" customHeight="1">
      <c r="A774" s="17"/>
      <c r="B774" s="16"/>
      <c r="C774" s="18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" customHeight="1">
      <c r="A775" s="17"/>
      <c r="B775" s="16"/>
      <c r="C775" s="18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" customHeight="1">
      <c r="A776" s="17"/>
      <c r="B776" s="16"/>
      <c r="C776" s="18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" customHeight="1">
      <c r="A777" s="17"/>
      <c r="B777" s="16"/>
      <c r="C777" s="18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" customHeight="1">
      <c r="A778" s="17"/>
      <c r="B778" s="16"/>
      <c r="C778" s="18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" customHeight="1">
      <c r="A779" s="17"/>
      <c r="B779" s="16"/>
      <c r="C779" s="18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" customHeight="1">
      <c r="A780" s="17"/>
      <c r="B780" s="16"/>
      <c r="C780" s="18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" customHeight="1">
      <c r="A781" s="17"/>
      <c r="B781" s="16"/>
      <c r="C781" s="18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" customHeight="1">
      <c r="A782" s="17"/>
      <c r="B782" s="16"/>
      <c r="C782" s="18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" customHeight="1">
      <c r="A783" s="17"/>
      <c r="B783" s="16"/>
      <c r="C783" s="18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" customHeight="1">
      <c r="A784" s="17"/>
      <c r="B784" s="16"/>
      <c r="C784" s="18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" customHeight="1">
      <c r="A785" s="17"/>
      <c r="B785" s="16"/>
      <c r="C785" s="18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" customHeight="1">
      <c r="A786" s="17"/>
      <c r="B786" s="16"/>
      <c r="C786" s="18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" customHeight="1">
      <c r="A787" s="17"/>
      <c r="B787" s="16"/>
      <c r="C787" s="18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" customHeight="1">
      <c r="A788" s="17"/>
      <c r="B788" s="16"/>
      <c r="C788" s="18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" customHeight="1">
      <c r="A789" s="17"/>
      <c r="B789" s="16"/>
      <c r="C789" s="18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" customHeight="1">
      <c r="A790" s="17"/>
      <c r="B790" s="16"/>
      <c r="C790" s="18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" customHeight="1">
      <c r="A791" s="17"/>
      <c r="B791" s="16"/>
      <c r="C791" s="18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" customHeight="1">
      <c r="A792" s="17"/>
      <c r="B792" s="16"/>
      <c r="C792" s="18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" customHeight="1">
      <c r="A793" s="17"/>
      <c r="B793" s="16"/>
      <c r="C793" s="18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" customHeight="1">
      <c r="A794" s="17"/>
      <c r="B794" s="16"/>
      <c r="C794" s="18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" customHeight="1">
      <c r="A795" s="17"/>
      <c r="B795" s="16"/>
      <c r="C795" s="18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" customHeight="1">
      <c r="A796" s="17"/>
      <c r="B796" s="16"/>
      <c r="C796" s="1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" customHeight="1">
      <c r="A797" s="17"/>
      <c r="B797" s="16"/>
      <c r="C797" s="18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" customHeight="1">
      <c r="A798" s="17"/>
      <c r="B798" s="16"/>
      <c r="C798" s="18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" customHeight="1">
      <c r="A799" s="17"/>
      <c r="B799" s="16"/>
      <c r="C799" s="18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" customHeight="1">
      <c r="A800" s="17"/>
      <c r="B800" s="16"/>
      <c r="C800" s="18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" customHeight="1">
      <c r="A801" s="17"/>
      <c r="B801" s="16"/>
      <c r="C801" s="18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" customHeight="1">
      <c r="A802" s="17"/>
      <c r="B802" s="16"/>
      <c r="C802" s="18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" customHeight="1">
      <c r="A803" s="17"/>
      <c r="B803" s="16"/>
      <c r="C803" s="18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" customHeight="1">
      <c r="A804" s="17"/>
      <c r="B804" s="16"/>
      <c r="C804" s="18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" customHeight="1">
      <c r="A805" s="17"/>
      <c r="B805" s="16"/>
      <c r="C805" s="18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" customHeight="1">
      <c r="A806" s="17"/>
      <c r="B806" s="16"/>
      <c r="C806" s="18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" customHeight="1">
      <c r="A807" s="17"/>
      <c r="B807" s="16"/>
      <c r="C807" s="18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" customHeight="1">
      <c r="A808" s="17"/>
      <c r="B808" s="16"/>
      <c r="C808" s="18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" customHeight="1">
      <c r="A809" s="17"/>
      <c r="B809" s="16"/>
      <c r="C809" s="18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" customHeight="1">
      <c r="A810" s="17"/>
      <c r="B810" s="16"/>
      <c r="C810" s="18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" customHeight="1">
      <c r="A811" s="17"/>
      <c r="B811" s="16"/>
      <c r="C811" s="18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" customHeight="1">
      <c r="A812" s="17"/>
      <c r="B812" s="16"/>
      <c r="C812" s="18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" customHeight="1">
      <c r="A813" s="17"/>
      <c r="B813" s="16"/>
      <c r="C813" s="18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" customHeight="1">
      <c r="A814" s="17"/>
      <c r="B814" s="16"/>
      <c r="C814" s="18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" customHeight="1">
      <c r="A815" s="17"/>
      <c r="B815" s="16"/>
      <c r="C815" s="18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" customHeight="1">
      <c r="A816" s="17"/>
      <c r="B816" s="16"/>
      <c r="C816" s="18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" customHeight="1">
      <c r="A817" s="17"/>
      <c r="B817" s="16"/>
      <c r="C817" s="18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" customHeight="1">
      <c r="A818" s="17"/>
      <c r="B818" s="16"/>
      <c r="C818" s="18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" customHeight="1">
      <c r="A819" s="17"/>
      <c r="B819" s="16"/>
      <c r="C819" s="18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" customHeight="1">
      <c r="A820" s="17"/>
      <c r="B820" s="16"/>
      <c r="C820" s="18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" customHeight="1">
      <c r="A821" s="17"/>
      <c r="B821" s="16"/>
      <c r="C821" s="18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" customHeight="1">
      <c r="A822" s="17"/>
      <c r="B822" s="16"/>
      <c r="C822" s="18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" customHeight="1">
      <c r="A823" s="17"/>
      <c r="B823" s="16"/>
      <c r="C823" s="18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" customHeight="1">
      <c r="A824" s="17"/>
      <c r="B824" s="16"/>
      <c r="C824" s="18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" customHeight="1">
      <c r="A825" s="17"/>
      <c r="B825" s="16"/>
      <c r="C825" s="18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" customHeight="1">
      <c r="A826" s="17"/>
      <c r="B826" s="16"/>
      <c r="C826" s="18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" customHeight="1">
      <c r="A827" s="17"/>
      <c r="B827" s="16"/>
      <c r="C827" s="18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" customHeight="1">
      <c r="A828" s="17"/>
      <c r="B828" s="16"/>
      <c r="C828" s="18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" customHeight="1">
      <c r="A829" s="17"/>
      <c r="B829" s="16"/>
      <c r="C829" s="18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" customHeight="1">
      <c r="A830" s="17"/>
      <c r="B830" s="16"/>
      <c r="C830" s="18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" customHeight="1">
      <c r="A831" s="17"/>
      <c r="B831" s="16"/>
      <c r="C831" s="18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" customHeight="1">
      <c r="A832" s="17"/>
      <c r="B832" s="16"/>
      <c r="C832" s="18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" customHeight="1">
      <c r="A833" s="17"/>
      <c r="B833" s="16"/>
      <c r="C833" s="18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" customHeight="1">
      <c r="A834" s="17"/>
      <c r="B834" s="16"/>
      <c r="C834" s="18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" customHeight="1">
      <c r="A835" s="17"/>
      <c r="B835" s="16"/>
      <c r="C835" s="18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" customHeight="1">
      <c r="A836" s="17"/>
      <c r="B836" s="16"/>
      <c r="C836" s="18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" customHeight="1">
      <c r="A837" s="17"/>
      <c r="B837" s="16"/>
      <c r="C837" s="18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" customHeight="1">
      <c r="A838" s="17"/>
      <c r="B838" s="16"/>
      <c r="C838" s="18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" customHeight="1">
      <c r="A839" s="17"/>
      <c r="B839" s="16"/>
      <c r="C839" s="18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" customHeight="1">
      <c r="A840" s="17"/>
      <c r="B840" s="16"/>
      <c r="C840" s="18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" customHeight="1">
      <c r="A841" s="17"/>
      <c r="B841" s="16"/>
      <c r="C841" s="18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" customHeight="1">
      <c r="A842" s="17"/>
      <c r="B842" s="16"/>
      <c r="C842" s="18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" customHeight="1">
      <c r="A843" s="17"/>
      <c r="B843" s="16"/>
      <c r="C843" s="18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" customHeight="1">
      <c r="A844" s="17"/>
      <c r="B844" s="16"/>
      <c r="C844" s="18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" customHeight="1">
      <c r="A845" s="17"/>
      <c r="B845" s="16"/>
      <c r="C845" s="18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" customHeight="1">
      <c r="A846" s="17"/>
      <c r="B846" s="16"/>
      <c r="C846" s="18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" customHeight="1">
      <c r="A847" s="17"/>
      <c r="B847" s="16"/>
      <c r="C847" s="18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" customHeight="1">
      <c r="A848" s="17"/>
      <c r="B848" s="16"/>
      <c r="C848" s="18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" customHeight="1">
      <c r="A849" s="17"/>
      <c r="B849" s="16"/>
      <c r="C849" s="18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" customHeight="1">
      <c r="A850" s="17"/>
      <c r="B850" s="16"/>
      <c r="C850" s="18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" customHeight="1">
      <c r="A851" s="17"/>
      <c r="B851" s="16"/>
      <c r="C851" s="18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" customHeight="1">
      <c r="A852" s="17"/>
      <c r="B852" s="16"/>
      <c r="C852" s="18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" customHeight="1">
      <c r="A853" s="17"/>
      <c r="B853" s="16"/>
      <c r="C853" s="18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" customHeight="1">
      <c r="A854" s="17"/>
      <c r="B854" s="16"/>
      <c r="C854" s="18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" customHeight="1">
      <c r="A855" s="17"/>
      <c r="B855" s="16"/>
      <c r="C855" s="18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" customHeight="1">
      <c r="A856" s="17"/>
      <c r="B856" s="16"/>
      <c r="C856" s="18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" customHeight="1">
      <c r="A857" s="17"/>
      <c r="B857" s="16"/>
      <c r="C857" s="18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" customHeight="1">
      <c r="A858" s="17"/>
      <c r="B858" s="16"/>
      <c r="C858" s="18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" customHeight="1">
      <c r="A859" s="17"/>
      <c r="B859" s="16"/>
      <c r="C859" s="18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" customHeight="1">
      <c r="A860" s="17"/>
      <c r="B860" s="16"/>
      <c r="C860" s="18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" customHeight="1">
      <c r="A861" s="17"/>
      <c r="B861" s="16"/>
      <c r="C861" s="18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" customHeight="1">
      <c r="A862" s="17"/>
      <c r="B862" s="16"/>
      <c r="C862" s="18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" customHeight="1">
      <c r="A863" s="17"/>
      <c r="B863" s="16"/>
      <c r="C863" s="18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" customHeight="1">
      <c r="A864" s="17"/>
      <c r="B864" s="16"/>
      <c r="C864" s="18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" customHeight="1">
      <c r="A865" s="17"/>
      <c r="B865" s="16"/>
      <c r="C865" s="18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" customHeight="1">
      <c r="A866" s="17"/>
      <c r="B866" s="16"/>
      <c r="C866" s="18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" customHeight="1">
      <c r="A867" s="17"/>
      <c r="B867" s="16"/>
      <c r="C867" s="18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" customHeight="1">
      <c r="A868" s="17"/>
      <c r="B868" s="16"/>
      <c r="C868" s="18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" customHeight="1">
      <c r="A869" s="17"/>
      <c r="B869" s="16"/>
      <c r="C869" s="18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" customHeight="1">
      <c r="A870" s="17"/>
      <c r="B870" s="16"/>
      <c r="C870" s="18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" customHeight="1">
      <c r="A871" s="17"/>
      <c r="B871" s="16"/>
      <c r="C871" s="18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" customHeight="1">
      <c r="A872" s="17"/>
      <c r="B872" s="16"/>
      <c r="C872" s="18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" customHeight="1">
      <c r="A873" s="17"/>
      <c r="B873" s="16"/>
      <c r="C873" s="18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" customHeight="1">
      <c r="A874" s="17"/>
      <c r="B874" s="16"/>
      <c r="C874" s="18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" customHeight="1">
      <c r="A875" s="17"/>
      <c r="B875" s="16"/>
      <c r="C875" s="18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" customHeight="1">
      <c r="A876" s="17"/>
      <c r="B876" s="16"/>
      <c r="C876" s="18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" customHeight="1">
      <c r="A877" s="17"/>
      <c r="B877" s="16"/>
      <c r="C877" s="18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" customHeight="1">
      <c r="A878" s="17"/>
      <c r="B878" s="16"/>
      <c r="C878" s="18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" customHeight="1">
      <c r="A879" s="17"/>
      <c r="B879" s="16"/>
      <c r="C879" s="18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" customHeight="1">
      <c r="A880" s="17"/>
      <c r="B880" s="16"/>
      <c r="C880" s="18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" customHeight="1">
      <c r="A881" s="17"/>
      <c r="B881" s="16"/>
      <c r="C881" s="18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" customHeight="1">
      <c r="A882" s="17"/>
      <c r="B882" s="16"/>
      <c r="C882" s="18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" customHeight="1">
      <c r="A883" s="17"/>
      <c r="B883" s="16"/>
      <c r="C883" s="18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" customHeight="1">
      <c r="A884" s="17"/>
      <c r="B884" s="16"/>
      <c r="C884" s="18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" customHeight="1">
      <c r="A885" s="17"/>
      <c r="B885" s="16"/>
      <c r="C885" s="18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" customHeight="1">
      <c r="A886" s="17"/>
      <c r="B886" s="16"/>
      <c r="C886" s="18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" customHeight="1">
      <c r="A887" s="17"/>
      <c r="B887" s="16"/>
      <c r="C887" s="18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" customHeight="1">
      <c r="A888" s="17"/>
      <c r="B888" s="16"/>
      <c r="C888" s="18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" customHeight="1">
      <c r="A889" s="17"/>
      <c r="B889" s="16"/>
      <c r="C889" s="18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" customHeight="1">
      <c r="A890" s="17"/>
      <c r="B890" s="16"/>
      <c r="C890" s="18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" customHeight="1">
      <c r="A891" s="17"/>
      <c r="B891" s="16"/>
      <c r="C891" s="18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" customHeight="1">
      <c r="A892" s="17"/>
      <c r="B892" s="16"/>
      <c r="C892" s="18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" customHeight="1">
      <c r="A893" s="17"/>
      <c r="B893" s="16"/>
      <c r="C893" s="18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" customHeight="1">
      <c r="A894" s="17"/>
      <c r="B894" s="16"/>
      <c r="C894" s="18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" customHeight="1">
      <c r="A895" s="17"/>
      <c r="B895" s="16"/>
      <c r="C895" s="18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" customHeight="1">
      <c r="A896" s="17"/>
      <c r="B896" s="16"/>
      <c r="C896" s="18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" customHeight="1">
      <c r="A897" s="17"/>
      <c r="B897" s="16"/>
      <c r="C897" s="18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" customHeight="1">
      <c r="A898" s="17"/>
      <c r="B898" s="16"/>
      <c r="C898" s="18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" customHeight="1">
      <c r="A899" s="17"/>
      <c r="B899" s="16"/>
      <c r="C899" s="18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" customHeight="1">
      <c r="A900" s="17"/>
      <c r="B900" s="16"/>
      <c r="C900" s="18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" customHeight="1">
      <c r="A901" s="17"/>
      <c r="B901" s="16"/>
      <c r="C901" s="18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" customHeight="1">
      <c r="A902" s="17"/>
      <c r="B902" s="16"/>
      <c r="C902" s="18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" customHeight="1">
      <c r="A903" s="17"/>
      <c r="B903" s="16"/>
      <c r="C903" s="18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" customHeight="1">
      <c r="A904" s="17"/>
      <c r="B904" s="16"/>
      <c r="C904" s="18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" customHeight="1">
      <c r="A905" s="17"/>
      <c r="B905" s="16"/>
      <c r="C905" s="18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" customHeight="1">
      <c r="A906" s="17"/>
      <c r="B906" s="16"/>
      <c r="C906" s="18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" customHeight="1">
      <c r="A907" s="17"/>
      <c r="B907" s="16"/>
      <c r="C907" s="18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" customHeight="1">
      <c r="A908" s="17"/>
      <c r="B908" s="16"/>
      <c r="C908" s="18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" customHeight="1">
      <c r="A909" s="17"/>
      <c r="B909" s="16"/>
      <c r="C909" s="18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" customHeight="1">
      <c r="A910" s="17"/>
      <c r="B910" s="16"/>
      <c r="C910" s="18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" customHeight="1">
      <c r="A911" s="17"/>
      <c r="B911" s="16"/>
      <c r="C911" s="18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" customHeight="1">
      <c r="A912" s="17"/>
      <c r="B912" s="16"/>
      <c r="C912" s="18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" customHeight="1">
      <c r="A913" s="17"/>
      <c r="B913" s="16"/>
      <c r="C913" s="18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" customHeight="1">
      <c r="A914" s="17"/>
      <c r="B914" s="16"/>
      <c r="C914" s="18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" customHeight="1">
      <c r="A915" s="17"/>
      <c r="B915" s="16"/>
      <c r="C915" s="18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" customHeight="1">
      <c r="A916" s="17"/>
      <c r="B916" s="16"/>
      <c r="C916" s="18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" customHeight="1">
      <c r="A917" s="17"/>
      <c r="B917" s="16"/>
      <c r="C917" s="18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" customHeight="1">
      <c r="A918" s="17"/>
      <c r="B918" s="16"/>
      <c r="C918" s="18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" customHeight="1">
      <c r="A919" s="17"/>
      <c r="B919" s="16"/>
      <c r="C919" s="18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" customHeight="1">
      <c r="A920" s="17"/>
      <c r="B920" s="16"/>
      <c r="C920" s="18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" customHeight="1">
      <c r="A921" s="17"/>
      <c r="B921" s="16"/>
      <c r="C921" s="18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" customHeight="1">
      <c r="A922" s="17"/>
      <c r="B922" s="16"/>
      <c r="C922" s="18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" customHeight="1">
      <c r="A923" s="17"/>
      <c r="B923" s="16"/>
      <c r="C923" s="18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" customHeight="1">
      <c r="A924" s="17"/>
      <c r="B924" s="16"/>
      <c r="C924" s="18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" customHeight="1">
      <c r="A925" s="17"/>
      <c r="B925" s="16"/>
      <c r="C925" s="18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" customHeight="1">
      <c r="A926" s="17"/>
      <c r="B926" s="16"/>
      <c r="C926" s="18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" customHeight="1">
      <c r="A927" s="17"/>
      <c r="B927" s="16"/>
      <c r="C927" s="18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" customHeight="1">
      <c r="A928" s="17"/>
      <c r="B928" s="16"/>
      <c r="C928" s="18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" customHeight="1">
      <c r="A929" s="17"/>
      <c r="B929" s="16"/>
      <c r="C929" s="18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" customHeight="1">
      <c r="A930" s="17"/>
      <c r="B930" s="16"/>
      <c r="C930" s="18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" customHeight="1">
      <c r="A931" s="17"/>
      <c r="B931" s="16"/>
      <c r="C931" s="18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" customHeight="1">
      <c r="A932" s="17"/>
      <c r="B932" s="16"/>
      <c r="C932" s="18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" customHeight="1">
      <c r="A933" s="17"/>
      <c r="B933" s="16"/>
      <c r="C933" s="18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" customHeight="1">
      <c r="A934" s="17"/>
      <c r="B934" s="16"/>
      <c r="C934" s="18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" customHeight="1">
      <c r="A935" s="17"/>
      <c r="B935" s="16"/>
      <c r="C935" s="18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" customHeight="1">
      <c r="A936" s="17"/>
      <c r="B936" s="16"/>
      <c r="C936" s="18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" customHeight="1">
      <c r="A937" s="17"/>
      <c r="B937" s="16"/>
      <c r="C937" s="18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" customHeight="1">
      <c r="A938" s="17"/>
      <c r="B938" s="16"/>
      <c r="C938" s="18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" customHeight="1">
      <c r="A939" s="17"/>
      <c r="B939" s="16"/>
      <c r="C939" s="18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" customHeight="1">
      <c r="A940" s="17"/>
      <c r="B940" s="16"/>
      <c r="C940" s="18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" customHeight="1">
      <c r="A941" s="17"/>
      <c r="B941" s="16"/>
      <c r="C941" s="18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" customHeight="1">
      <c r="A942" s="17"/>
      <c r="B942" s="16"/>
      <c r="C942" s="18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" customHeight="1">
      <c r="A943" s="17"/>
      <c r="B943" s="16"/>
      <c r="C943" s="18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" customHeight="1">
      <c r="A944" s="17"/>
      <c r="B944" s="16"/>
      <c r="C944" s="18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" customHeight="1">
      <c r="A945" s="17"/>
      <c r="B945" s="16"/>
      <c r="C945" s="18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" customHeight="1">
      <c r="A946" s="17"/>
      <c r="B946" s="16"/>
      <c r="C946" s="18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" customHeight="1">
      <c r="A947" s="17"/>
      <c r="B947" s="16"/>
      <c r="C947" s="18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" customHeight="1">
      <c r="A948" s="17"/>
      <c r="B948" s="16"/>
      <c r="C948" s="18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" customHeight="1">
      <c r="A949" s="17"/>
      <c r="B949" s="16"/>
      <c r="C949" s="18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" customHeight="1">
      <c r="A950" s="17"/>
      <c r="B950" s="16"/>
      <c r="C950" s="18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" customHeight="1">
      <c r="A951" s="17"/>
      <c r="B951" s="16"/>
      <c r="C951" s="18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" customHeight="1">
      <c r="A952" s="17"/>
      <c r="B952" s="16"/>
      <c r="C952" s="18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" customHeight="1">
      <c r="A953" s="17"/>
      <c r="B953" s="16"/>
      <c r="C953" s="18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" customHeight="1">
      <c r="A954" s="17"/>
      <c r="B954" s="16"/>
      <c r="C954" s="18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" customHeight="1">
      <c r="A955" s="17"/>
      <c r="B955" s="16"/>
      <c r="C955" s="18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" customHeight="1">
      <c r="A956" s="17"/>
      <c r="B956" s="16"/>
      <c r="C956" s="18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" customHeight="1">
      <c r="A957" s="17"/>
      <c r="B957" s="16"/>
      <c r="C957" s="18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" customHeight="1">
      <c r="A958" s="17"/>
      <c r="B958" s="16"/>
      <c r="C958" s="18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" customHeight="1">
      <c r="A959" s="17"/>
      <c r="B959" s="16"/>
      <c r="C959" s="18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" customHeight="1">
      <c r="A960" s="17"/>
      <c r="B960" s="16"/>
      <c r="C960" s="18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" customHeight="1">
      <c r="A961" s="17"/>
      <c r="B961" s="16"/>
      <c r="C961" s="18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" customHeight="1">
      <c r="A962" s="17"/>
      <c r="B962" s="16"/>
      <c r="C962" s="18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" customHeight="1">
      <c r="A963" s="17"/>
      <c r="B963" s="16"/>
      <c r="C963" s="18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" customHeight="1">
      <c r="A964" s="17"/>
      <c r="B964" s="16"/>
      <c r="C964" s="18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" customHeight="1">
      <c r="A965" s="17"/>
      <c r="B965" s="16"/>
      <c r="C965" s="18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" customHeight="1">
      <c r="A966" s="17"/>
      <c r="B966" s="16"/>
      <c r="C966" s="18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" customHeight="1">
      <c r="A967" s="17"/>
      <c r="B967" s="16"/>
      <c r="C967" s="18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" customHeight="1">
      <c r="A968" s="17"/>
      <c r="B968" s="16"/>
      <c r="C968" s="18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" customHeight="1">
      <c r="A969" s="17"/>
      <c r="B969" s="16"/>
      <c r="C969" s="18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" customHeight="1">
      <c r="A970" s="17"/>
      <c r="B970" s="16"/>
      <c r="C970" s="18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" customHeight="1">
      <c r="A971" s="17"/>
      <c r="B971" s="16"/>
      <c r="C971" s="18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" customHeight="1">
      <c r="A972" s="17"/>
      <c r="B972" s="16"/>
      <c r="C972" s="18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" customHeight="1">
      <c r="A973" s="17"/>
      <c r="B973" s="16"/>
      <c r="C973" s="18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" customHeight="1">
      <c r="A974" s="17"/>
      <c r="B974" s="16"/>
      <c r="C974" s="18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" customHeight="1">
      <c r="A975" s="17"/>
      <c r="B975" s="16"/>
      <c r="C975" s="18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" customHeight="1">
      <c r="A976" s="17"/>
      <c r="B976" s="16"/>
      <c r="C976" s="18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" customHeight="1">
      <c r="A977" s="17"/>
      <c r="B977" s="16"/>
      <c r="C977" s="18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" customHeight="1">
      <c r="A978" s="17"/>
      <c r="B978" s="16"/>
      <c r="C978" s="18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" customHeight="1">
      <c r="A979" s="17"/>
      <c r="B979" s="16"/>
      <c r="C979" s="18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" customHeight="1">
      <c r="A980" s="17"/>
      <c r="B980" s="16"/>
      <c r="C980" s="18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" customHeight="1">
      <c r="A981" s="17"/>
      <c r="B981" s="16"/>
      <c r="C981" s="18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" customHeight="1">
      <c r="A982" s="17"/>
      <c r="B982" s="16"/>
      <c r="C982" s="18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" customHeight="1">
      <c r="A983" s="17"/>
      <c r="B983" s="16"/>
      <c r="C983" s="18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" customHeight="1">
      <c r="A984" s="17"/>
      <c r="B984" s="16"/>
      <c r="C984" s="18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" customHeight="1">
      <c r="A985" s="17"/>
      <c r="B985" s="16"/>
      <c r="C985" s="18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" customHeight="1">
      <c r="A986" s="17"/>
      <c r="B986" s="16"/>
      <c r="C986" s="18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" customHeight="1">
      <c r="A987" s="17"/>
      <c r="B987" s="16"/>
      <c r="C987" s="18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" customHeight="1">
      <c r="A988" s="17"/>
      <c r="B988" s="16"/>
      <c r="C988" s="18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" customHeight="1">
      <c r="A989" s="17"/>
      <c r="B989" s="16"/>
      <c r="C989" s="18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" customHeight="1">
      <c r="A990" s="17"/>
      <c r="B990" s="16"/>
      <c r="C990" s="18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" customHeight="1">
      <c r="A991" s="17"/>
      <c r="B991" s="16"/>
      <c r="C991" s="18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" customHeight="1">
      <c r="A992" s="17"/>
      <c r="B992" s="16"/>
      <c r="C992" s="18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" customHeight="1">
      <c r="A993" s="17"/>
      <c r="B993" s="16"/>
      <c r="C993" s="18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" customHeight="1">
      <c r="A994" s="17"/>
      <c r="B994" s="16"/>
      <c r="C994" s="18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" customHeight="1">
      <c r="A995" s="17"/>
      <c r="B995" s="16"/>
      <c r="C995" s="18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" customHeight="1">
      <c r="A996" s="17"/>
      <c r="B996" s="16"/>
      <c r="C996" s="18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" customHeight="1">
      <c r="A997" s="17"/>
      <c r="B997" s="16"/>
      <c r="C997" s="18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" customHeight="1">
      <c r="A998" s="17"/>
      <c r="B998" s="16"/>
      <c r="C998" s="18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" customHeight="1">
      <c r="A999" s="17"/>
      <c r="B999" s="16"/>
      <c r="C999" s="18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printOptions horizontalCentered="1" gridLines="1"/>
  <pageMargins left="0.25" right="0.25" top="0.39370078740157477" bottom="0.39370078740157477" header="0" footer="0"/>
  <pageSetup paperSize="9" scale="88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2"/>
  <sheetViews>
    <sheetView workbookViewId="0"/>
  </sheetViews>
  <sheetFormatPr defaultColWidth="12.61328125" defaultRowHeight="15" customHeight="1"/>
  <cols>
    <col min="1" max="1" width="16" customWidth="1"/>
    <col min="2" max="2" width="57.15234375" customWidth="1"/>
    <col min="3" max="3" width="8.765625" customWidth="1"/>
  </cols>
  <sheetData>
    <row r="1" spans="1:26" ht="15" customHeight="1">
      <c r="A1" s="19" t="s">
        <v>4</v>
      </c>
      <c r="B1" s="20" t="s">
        <v>69</v>
      </c>
      <c r="C1" s="21" t="s">
        <v>6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>
      <c r="A2" s="13">
        <v>1</v>
      </c>
      <c r="B2" s="14" t="s">
        <v>70</v>
      </c>
      <c r="C2" s="15">
        <v>7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5" customHeight="1">
      <c r="A3" s="17"/>
      <c r="B3" s="14" t="s">
        <v>71</v>
      </c>
      <c r="C3" s="15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" customHeight="1">
      <c r="A4" s="17"/>
      <c r="B4" s="14" t="s">
        <v>72</v>
      </c>
      <c r="C4" s="15"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5" customHeight="1">
      <c r="A5" s="17"/>
      <c r="B5" s="17"/>
      <c r="C5" s="18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" customHeight="1">
      <c r="A6" s="17"/>
      <c r="B6" s="17"/>
      <c r="C6" s="18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" customHeight="1">
      <c r="A7" s="13">
        <v>2</v>
      </c>
      <c r="B7" s="14" t="s">
        <v>73</v>
      </c>
      <c r="C7" s="15">
        <v>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" customHeight="1">
      <c r="A8" s="17"/>
      <c r="B8" s="14" t="s">
        <v>74</v>
      </c>
      <c r="C8" s="15">
        <v>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" customHeight="1">
      <c r="A9" s="17"/>
      <c r="B9" s="14" t="s">
        <v>75</v>
      </c>
      <c r="C9" s="15">
        <v>3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" customHeight="1">
      <c r="A10" s="17"/>
      <c r="B10" s="17"/>
      <c r="C10" s="1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" customHeight="1">
      <c r="A11" s="17"/>
      <c r="B11" s="17"/>
      <c r="C11" s="1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" customHeight="1">
      <c r="A12" s="13">
        <v>3</v>
      </c>
      <c r="B12" s="14" t="s">
        <v>73</v>
      </c>
      <c r="C12" s="15">
        <v>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" customHeight="1">
      <c r="A13" s="17"/>
      <c r="B13" s="14" t="s">
        <v>76</v>
      </c>
      <c r="C13" s="15">
        <v>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" customHeight="1">
      <c r="A14" s="17"/>
      <c r="B14" s="17" t="s">
        <v>77</v>
      </c>
      <c r="C14" s="18">
        <v>2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" customHeight="1">
      <c r="A15" s="17"/>
      <c r="B15" s="17" t="s">
        <v>78</v>
      </c>
      <c r="C15" s="18">
        <v>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" customHeight="1">
      <c r="A16" s="13"/>
      <c r="B16" s="14" t="s">
        <v>79</v>
      </c>
      <c r="C16" s="15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" customHeight="1">
      <c r="A17" s="17"/>
      <c r="B17" s="14" t="s">
        <v>72</v>
      </c>
      <c r="C17" s="15"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" customHeight="1">
      <c r="A18" s="17"/>
      <c r="B18" s="14"/>
      <c r="C18" s="15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" customHeight="1">
      <c r="A19" s="17"/>
      <c r="B19" s="14"/>
      <c r="C19" s="15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" customHeight="1">
      <c r="A20" s="17">
        <v>4</v>
      </c>
      <c r="B20" s="17" t="s">
        <v>80</v>
      </c>
      <c r="C20" s="18">
        <v>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" customHeight="1">
      <c r="A21" s="17"/>
      <c r="B21" s="17" t="s">
        <v>81</v>
      </c>
      <c r="C21" s="18">
        <v>5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" customHeight="1">
      <c r="A22" s="13"/>
      <c r="B22" s="14" t="s">
        <v>82</v>
      </c>
      <c r="C22" s="15">
        <v>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" customHeight="1">
      <c r="A23" s="17"/>
      <c r="B23" s="14" t="s">
        <v>83</v>
      </c>
      <c r="C23" s="15"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" customHeight="1">
      <c r="A24" s="17"/>
      <c r="B24" s="14"/>
      <c r="C24" s="15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" customHeight="1">
      <c r="A25" s="17"/>
      <c r="B25" s="17"/>
      <c r="C25" s="1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" customHeight="1">
      <c r="A26" s="17">
        <v>5</v>
      </c>
      <c r="B26" s="17" t="s">
        <v>73</v>
      </c>
      <c r="C26" s="18">
        <v>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" customHeight="1">
      <c r="A27" s="13"/>
      <c r="B27" s="14" t="s">
        <v>84</v>
      </c>
      <c r="C27" s="15">
        <v>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" customHeight="1">
      <c r="A28" s="17"/>
      <c r="B28" s="14" t="s">
        <v>85</v>
      </c>
      <c r="C28" s="15">
        <v>2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" customHeight="1">
      <c r="A29" s="17"/>
      <c r="B29" s="14" t="s">
        <v>86</v>
      </c>
      <c r="C29" s="15"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" customHeight="1">
      <c r="A30" s="17"/>
      <c r="B30" s="17"/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" customHeight="1">
      <c r="A31" s="17"/>
      <c r="B31" s="17"/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" customHeight="1">
      <c r="A32" s="13">
        <v>6</v>
      </c>
      <c r="B32" s="14" t="s">
        <v>73</v>
      </c>
      <c r="C32" s="15">
        <v>7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" customHeight="1">
      <c r="A33" s="17"/>
      <c r="B33" s="14" t="s">
        <v>87</v>
      </c>
      <c r="C33" s="15">
        <v>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" customHeight="1">
      <c r="A34" s="17"/>
      <c r="B34" s="17" t="s">
        <v>88</v>
      </c>
      <c r="C34" s="18">
        <v>1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" customHeight="1">
      <c r="A35" s="17"/>
      <c r="B35" s="17" t="s">
        <v>89</v>
      </c>
      <c r="C35" s="18">
        <v>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" customHeight="1">
      <c r="A36" s="13"/>
      <c r="B36" s="14" t="s">
        <v>72</v>
      </c>
      <c r="C36" s="15"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" customHeight="1">
      <c r="A37" s="17"/>
      <c r="B37" s="14"/>
      <c r="C37" s="1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" customHeight="1">
      <c r="A38" s="17">
        <v>7</v>
      </c>
      <c r="B38" s="16" t="s">
        <v>73</v>
      </c>
      <c r="C38" s="18">
        <v>7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" customHeight="1">
      <c r="A39" s="17"/>
      <c r="B39" s="16" t="s">
        <v>90</v>
      </c>
      <c r="C39" s="18">
        <v>5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" customHeight="1">
      <c r="A40" s="17"/>
      <c r="B40" s="16" t="s">
        <v>91</v>
      </c>
      <c r="C40" s="18">
        <v>1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" customHeight="1">
      <c r="A41" s="17"/>
      <c r="B41" s="16" t="s">
        <v>72</v>
      </c>
      <c r="C41" s="18"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" customHeight="1">
      <c r="A42" s="17"/>
      <c r="B42" s="16"/>
      <c r="C42" s="1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" customHeight="1">
      <c r="A43" s="17"/>
      <c r="B43" s="16"/>
      <c r="C43" s="1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" customHeight="1">
      <c r="A44" s="17">
        <v>8</v>
      </c>
      <c r="B44" s="16" t="s">
        <v>73</v>
      </c>
      <c r="C44" s="18">
        <v>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" customHeight="1">
      <c r="A45" s="17"/>
      <c r="B45" s="16" t="s">
        <v>92</v>
      </c>
      <c r="C45" s="18">
        <v>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" customHeight="1">
      <c r="A46" s="17"/>
      <c r="B46" s="16" t="s">
        <v>93</v>
      </c>
      <c r="C46" s="18">
        <v>2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" customHeight="1">
      <c r="A47" s="17"/>
      <c r="B47" s="16" t="s">
        <v>72</v>
      </c>
      <c r="C47" s="18"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" customHeight="1">
      <c r="A48" s="17"/>
      <c r="B48" s="16"/>
      <c r="C48" s="18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" customHeight="1">
      <c r="A49" s="17"/>
      <c r="B49" s="16"/>
      <c r="C49" s="18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" customHeight="1">
      <c r="A50" s="17"/>
      <c r="B50" s="16"/>
      <c r="C50" s="1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" customHeight="1">
      <c r="A51" s="17"/>
      <c r="B51" s="16"/>
      <c r="C51" s="1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" customHeight="1">
      <c r="A52" s="17"/>
      <c r="B52" s="16"/>
      <c r="C52" s="1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" customHeight="1">
      <c r="A53" s="17"/>
      <c r="B53" s="16"/>
      <c r="C53" s="1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" customHeight="1">
      <c r="A54" s="17"/>
      <c r="B54" s="16"/>
      <c r="C54" s="18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" customHeight="1">
      <c r="A55" s="17"/>
      <c r="B55" s="16"/>
      <c r="C55" s="18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" customHeight="1">
      <c r="A56" s="17"/>
      <c r="B56" s="16"/>
      <c r="C56" s="1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" customHeight="1">
      <c r="A57" s="17"/>
      <c r="B57" s="16"/>
      <c r="C57" s="18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" customHeight="1">
      <c r="A58" s="17"/>
      <c r="B58" s="16"/>
      <c r="C58" s="18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" customHeight="1">
      <c r="A59" s="17"/>
      <c r="B59" s="16"/>
      <c r="C59" s="18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" customHeight="1">
      <c r="A60" s="17"/>
      <c r="B60" s="16"/>
      <c r="C60" s="18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" customHeight="1">
      <c r="A61" s="17"/>
      <c r="B61" s="16"/>
      <c r="C61" s="18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" customHeight="1">
      <c r="A62" s="17"/>
      <c r="B62" s="16"/>
      <c r="C62" s="18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" customHeight="1">
      <c r="A63" s="17"/>
      <c r="B63" s="16"/>
      <c r="C63" s="1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" customHeight="1">
      <c r="A64" s="17"/>
      <c r="B64" s="16"/>
      <c r="C64" s="1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" customHeight="1">
      <c r="A65" s="17"/>
      <c r="B65" s="16"/>
      <c r="C65" s="18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" customHeight="1">
      <c r="A66" s="17"/>
      <c r="B66" s="16"/>
      <c r="C66" s="18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" customHeight="1">
      <c r="A67" s="17"/>
      <c r="B67" s="16"/>
      <c r="C67" s="18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" customHeight="1">
      <c r="A68" s="17"/>
      <c r="B68" s="16"/>
      <c r="C68" s="18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" customHeight="1">
      <c r="A69" s="17"/>
      <c r="B69" s="16"/>
      <c r="C69" s="18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" customHeight="1">
      <c r="A70" s="17"/>
      <c r="B70" s="16"/>
      <c r="C70" s="18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" customHeight="1">
      <c r="A71" s="17"/>
      <c r="B71" s="16"/>
      <c r="C71" s="18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" customHeight="1">
      <c r="A72" s="17"/>
      <c r="B72" s="16"/>
      <c r="C72" s="18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" customHeight="1">
      <c r="A73" s="17"/>
      <c r="B73" s="16"/>
      <c r="C73" s="18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" customHeight="1">
      <c r="A74" s="17"/>
      <c r="B74" s="16"/>
      <c r="C74" s="18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" customHeight="1">
      <c r="A75" s="17"/>
      <c r="B75" s="16"/>
      <c r="C75" s="18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" customHeight="1">
      <c r="A76" s="17"/>
      <c r="B76" s="16"/>
      <c r="C76" s="18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" customHeight="1">
      <c r="A77" s="17"/>
      <c r="B77" s="16"/>
      <c r="C77" s="18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" customHeight="1">
      <c r="A78" s="17"/>
      <c r="B78" s="16"/>
      <c r="C78" s="18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" customHeight="1">
      <c r="A79" s="17"/>
      <c r="B79" s="16"/>
      <c r="C79" s="18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" customHeight="1">
      <c r="A80" s="17"/>
      <c r="B80" s="16"/>
      <c r="C80" s="18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" customHeight="1">
      <c r="A81" s="17"/>
      <c r="B81" s="16"/>
      <c r="C81" s="18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" customHeight="1">
      <c r="A82" s="17"/>
      <c r="B82" s="16"/>
      <c r="C82" s="18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" customHeight="1">
      <c r="A83" s="17"/>
      <c r="B83" s="16"/>
      <c r="C83" s="18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" customHeight="1">
      <c r="A84" s="17"/>
      <c r="B84" s="16"/>
      <c r="C84" s="18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" customHeight="1">
      <c r="A85" s="17"/>
      <c r="B85" s="16"/>
      <c r="C85" s="18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" customHeight="1">
      <c r="A86" s="17"/>
      <c r="B86" s="16"/>
      <c r="C86" s="18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" customHeight="1">
      <c r="A87" s="17"/>
      <c r="B87" s="16"/>
      <c r="C87" s="18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" customHeight="1">
      <c r="A88" s="17"/>
      <c r="B88" s="16"/>
      <c r="C88" s="18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" customHeight="1">
      <c r="A89" s="17"/>
      <c r="B89" s="16"/>
      <c r="C89" s="18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" customHeight="1">
      <c r="A90" s="17"/>
      <c r="B90" s="16"/>
      <c r="C90" s="18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" customHeight="1">
      <c r="A91" s="17"/>
      <c r="B91" s="16"/>
      <c r="C91" s="18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" customHeight="1">
      <c r="A92" s="17"/>
      <c r="B92" s="16"/>
      <c r="C92" s="18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" customHeight="1">
      <c r="A93" s="17"/>
      <c r="B93" s="16"/>
      <c r="C93" s="18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" customHeight="1">
      <c r="A94" s="17"/>
      <c r="B94" s="16"/>
      <c r="C94" s="18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" customHeight="1">
      <c r="A95" s="17"/>
      <c r="B95" s="16"/>
      <c r="C95" s="18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" customHeight="1">
      <c r="A96" s="17"/>
      <c r="B96" s="16"/>
      <c r="C96" s="18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" customHeight="1">
      <c r="A97" s="17"/>
      <c r="B97" s="16"/>
      <c r="C97" s="18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" customHeight="1">
      <c r="A98" s="17"/>
      <c r="B98" s="16"/>
      <c r="C98" s="18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" customHeight="1">
      <c r="A99" s="17"/>
      <c r="B99" s="16"/>
      <c r="C99" s="18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" customHeight="1">
      <c r="A100" s="17"/>
      <c r="B100" s="16"/>
      <c r="C100" s="18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" customHeight="1">
      <c r="A101" s="17"/>
      <c r="B101" s="16"/>
      <c r="C101" s="18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" customHeight="1">
      <c r="A102" s="17"/>
      <c r="B102" s="16"/>
      <c r="C102" s="18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" customHeight="1">
      <c r="A103" s="17"/>
      <c r="B103" s="16"/>
      <c r="C103" s="18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" customHeight="1">
      <c r="A104" s="17"/>
      <c r="B104" s="16"/>
      <c r="C104" s="18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" customHeight="1">
      <c r="A105" s="17"/>
      <c r="B105" s="16"/>
      <c r="C105" s="18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" customHeight="1">
      <c r="A106" s="17"/>
      <c r="B106" s="16"/>
      <c r="C106" s="18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" customHeight="1">
      <c r="A107" s="17"/>
      <c r="B107" s="16"/>
      <c r="C107" s="18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" customHeight="1">
      <c r="A108" s="17"/>
      <c r="B108" s="16"/>
      <c r="C108" s="18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" customHeight="1">
      <c r="A109" s="17"/>
      <c r="B109" s="16"/>
      <c r="C109" s="18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" customHeight="1">
      <c r="A110" s="17"/>
      <c r="B110" s="16"/>
      <c r="C110" s="18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" customHeight="1">
      <c r="A111" s="17"/>
      <c r="B111" s="16"/>
      <c r="C111" s="18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" customHeight="1">
      <c r="A112" s="17"/>
      <c r="B112" s="16"/>
      <c r="C112" s="18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" customHeight="1">
      <c r="A113" s="17"/>
      <c r="B113" s="16"/>
      <c r="C113" s="18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" customHeight="1">
      <c r="A114" s="17"/>
      <c r="B114" s="16"/>
      <c r="C114" s="18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" customHeight="1">
      <c r="A115" s="17"/>
      <c r="B115" s="16"/>
      <c r="C115" s="18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" customHeight="1">
      <c r="A116" s="17"/>
      <c r="B116" s="16"/>
      <c r="C116" s="18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" customHeight="1">
      <c r="A117" s="17"/>
      <c r="B117" s="16"/>
      <c r="C117" s="18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" customHeight="1">
      <c r="A118" s="17"/>
      <c r="B118" s="16"/>
      <c r="C118" s="18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" customHeight="1">
      <c r="A119" s="17"/>
      <c r="B119" s="16"/>
      <c r="C119" s="18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" customHeight="1">
      <c r="A120" s="17"/>
      <c r="B120" s="16"/>
      <c r="C120" s="18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" customHeight="1">
      <c r="A121" s="17"/>
      <c r="B121" s="16"/>
      <c r="C121" s="18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" customHeight="1">
      <c r="A122" s="17"/>
      <c r="B122" s="16"/>
      <c r="C122" s="18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" customHeight="1">
      <c r="A123" s="17"/>
      <c r="B123" s="16"/>
      <c r="C123" s="18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" customHeight="1">
      <c r="A124" s="17"/>
      <c r="B124" s="16"/>
      <c r="C124" s="18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" customHeight="1">
      <c r="A125" s="17"/>
      <c r="B125" s="16"/>
      <c r="C125" s="18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" customHeight="1">
      <c r="A126" s="17"/>
      <c r="B126" s="16"/>
      <c r="C126" s="18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" customHeight="1">
      <c r="A127" s="17"/>
      <c r="B127" s="16"/>
      <c r="C127" s="18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" customHeight="1">
      <c r="A128" s="17"/>
      <c r="B128" s="16"/>
      <c r="C128" s="18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" customHeight="1">
      <c r="A129" s="17"/>
      <c r="B129" s="16"/>
      <c r="C129" s="18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" customHeight="1">
      <c r="A130" s="17"/>
      <c r="B130" s="16"/>
      <c r="C130" s="18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" customHeight="1">
      <c r="A131" s="17"/>
      <c r="B131" s="16"/>
      <c r="C131" s="18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" customHeight="1">
      <c r="A132" s="17"/>
      <c r="B132" s="16"/>
      <c r="C132" s="18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" customHeight="1">
      <c r="A133" s="17"/>
      <c r="B133" s="16"/>
      <c r="C133" s="18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" customHeight="1">
      <c r="A134" s="17"/>
      <c r="B134" s="16"/>
      <c r="C134" s="18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" customHeight="1">
      <c r="A135" s="17"/>
      <c r="B135" s="16"/>
      <c r="C135" s="18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" customHeight="1">
      <c r="A136" s="17"/>
      <c r="B136" s="16"/>
      <c r="C136" s="18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" customHeight="1">
      <c r="A137" s="17"/>
      <c r="B137" s="16"/>
      <c r="C137" s="18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" customHeight="1">
      <c r="A138" s="17"/>
      <c r="B138" s="16"/>
      <c r="C138" s="18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" customHeight="1">
      <c r="A139" s="17"/>
      <c r="B139" s="16"/>
      <c r="C139" s="18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" customHeight="1">
      <c r="A140" s="17"/>
      <c r="B140" s="16"/>
      <c r="C140" s="18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" customHeight="1">
      <c r="A141" s="17"/>
      <c r="B141" s="16"/>
      <c r="C141" s="18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" customHeight="1">
      <c r="A142" s="17"/>
      <c r="B142" s="16"/>
      <c r="C142" s="18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" customHeight="1">
      <c r="A143" s="17"/>
      <c r="B143" s="16"/>
      <c r="C143" s="18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" customHeight="1">
      <c r="A144" s="17"/>
      <c r="B144" s="16"/>
      <c r="C144" s="18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" customHeight="1">
      <c r="A145" s="17"/>
      <c r="B145" s="16"/>
      <c r="C145" s="18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" customHeight="1">
      <c r="A146" s="17"/>
      <c r="B146" s="16"/>
      <c r="C146" s="18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" customHeight="1">
      <c r="A147" s="17"/>
      <c r="B147" s="16"/>
      <c r="C147" s="18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" customHeight="1">
      <c r="A148" s="17"/>
      <c r="B148" s="16"/>
      <c r="C148" s="18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" customHeight="1">
      <c r="A149" s="17"/>
      <c r="B149" s="16"/>
      <c r="C149" s="18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" customHeight="1">
      <c r="A150" s="17"/>
      <c r="B150" s="16"/>
      <c r="C150" s="18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" customHeight="1">
      <c r="A151" s="17"/>
      <c r="B151" s="16"/>
      <c r="C151" s="18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" customHeight="1">
      <c r="A152" s="17"/>
      <c r="B152" s="16"/>
      <c r="C152" s="18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" customHeight="1">
      <c r="A153" s="17"/>
      <c r="B153" s="16"/>
      <c r="C153" s="18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" customHeight="1">
      <c r="A154" s="17"/>
      <c r="B154" s="16"/>
      <c r="C154" s="18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" customHeight="1">
      <c r="A155" s="17"/>
      <c r="B155" s="16"/>
      <c r="C155" s="18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" customHeight="1">
      <c r="A156" s="17"/>
      <c r="B156" s="16"/>
      <c r="C156" s="18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" customHeight="1">
      <c r="A157" s="17"/>
      <c r="B157" s="16"/>
      <c r="C157" s="18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" customHeight="1">
      <c r="A158" s="17"/>
      <c r="B158" s="16"/>
      <c r="C158" s="18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" customHeight="1">
      <c r="A159" s="17"/>
      <c r="B159" s="16"/>
      <c r="C159" s="18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" customHeight="1">
      <c r="A160" s="17"/>
      <c r="B160" s="16"/>
      <c r="C160" s="18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" customHeight="1">
      <c r="A161" s="17"/>
      <c r="B161" s="16"/>
      <c r="C161" s="18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" customHeight="1">
      <c r="A162" s="17"/>
      <c r="B162" s="16"/>
      <c r="C162" s="18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" customHeight="1">
      <c r="A163" s="17"/>
      <c r="B163" s="16"/>
      <c r="C163" s="18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" customHeight="1">
      <c r="A164" s="17"/>
      <c r="B164" s="16"/>
      <c r="C164" s="18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" customHeight="1">
      <c r="A165" s="17"/>
      <c r="B165" s="16"/>
      <c r="C165" s="18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" customHeight="1">
      <c r="A166" s="17"/>
      <c r="B166" s="16"/>
      <c r="C166" s="18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" customHeight="1">
      <c r="A167" s="17"/>
      <c r="B167" s="16"/>
      <c r="C167" s="18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" customHeight="1">
      <c r="A168" s="17"/>
      <c r="B168" s="16"/>
      <c r="C168" s="18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" customHeight="1">
      <c r="A169" s="17"/>
      <c r="B169" s="16"/>
      <c r="C169" s="18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" customHeight="1">
      <c r="A170" s="17"/>
      <c r="B170" s="16"/>
      <c r="C170" s="18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" customHeight="1">
      <c r="A171" s="17"/>
      <c r="B171" s="16"/>
      <c r="C171" s="18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" customHeight="1">
      <c r="A172" s="17"/>
      <c r="B172" s="16"/>
      <c r="C172" s="18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" customHeight="1">
      <c r="A173" s="17"/>
      <c r="B173" s="16"/>
      <c r="C173" s="18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" customHeight="1">
      <c r="A174" s="17"/>
      <c r="B174" s="16"/>
      <c r="C174" s="18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" customHeight="1">
      <c r="A175" s="17"/>
      <c r="B175" s="16"/>
      <c r="C175" s="18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" customHeight="1">
      <c r="A176" s="17"/>
      <c r="B176" s="16"/>
      <c r="C176" s="18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" customHeight="1">
      <c r="A177" s="17"/>
      <c r="B177" s="16"/>
      <c r="C177" s="18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" customHeight="1">
      <c r="A178" s="17"/>
      <c r="B178" s="16"/>
      <c r="C178" s="18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" customHeight="1">
      <c r="A179" s="17"/>
      <c r="B179" s="16"/>
      <c r="C179" s="18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" customHeight="1">
      <c r="A180" s="17"/>
      <c r="B180" s="16"/>
      <c r="C180" s="18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" customHeight="1">
      <c r="A181" s="17"/>
      <c r="B181" s="16"/>
      <c r="C181" s="18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" customHeight="1">
      <c r="A182" s="17"/>
      <c r="B182" s="16"/>
      <c r="C182" s="18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" customHeight="1">
      <c r="A183" s="17"/>
      <c r="B183" s="16"/>
      <c r="C183" s="18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" customHeight="1">
      <c r="A184" s="17"/>
      <c r="B184" s="16"/>
      <c r="C184" s="18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" customHeight="1">
      <c r="A185" s="17"/>
      <c r="B185" s="16"/>
      <c r="C185" s="18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" customHeight="1">
      <c r="A186" s="17"/>
      <c r="B186" s="16"/>
      <c r="C186" s="18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" customHeight="1">
      <c r="A187" s="17"/>
      <c r="B187" s="16"/>
      <c r="C187" s="18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" customHeight="1">
      <c r="A188" s="17"/>
      <c r="B188" s="16"/>
      <c r="C188" s="18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" customHeight="1">
      <c r="A189" s="17"/>
      <c r="B189" s="16"/>
      <c r="C189" s="18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" customHeight="1">
      <c r="A190" s="17"/>
      <c r="B190" s="16"/>
      <c r="C190" s="18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" customHeight="1">
      <c r="A191" s="17"/>
      <c r="B191" s="16"/>
      <c r="C191" s="18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" customHeight="1">
      <c r="A192" s="17"/>
      <c r="B192" s="16"/>
      <c r="C192" s="18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" customHeight="1">
      <c r="A193" s="17"/>
      <c r="B193" s="16"/>
      <c r="C193" s="18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" customHeight="1">
      <c r="A194" s="17"/>
      <c r="B194" s="16"/>
      <c r="C194" s="18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" customHeight="1">
      <c r="A195" s="17"/>
      <c r="B195" s="16"/>
      <c r="C195" s="18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" customHeight="1">
      <c r="A196" s="17"/>
      <c r="B196" s="16"/>
      <c r="C196" s="18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" customHeight="1">
      <c r="A197" s="17"/>
      <c r="B197" s="16"/>
      <c r="C197" s="18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" customHeight="1">
      <c r="A198" s="17"/>
      <c r="B198" s="16"/>
      <c r="C198" s="18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" customHeight="1">
      <c r="A199" s="17"/>
      <c r="B199" s="16"/>
      <c r="C199" s="18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" customHeight="1">
      <c r="A200" s="17"/>
      <c r="B200" s="16"/>
      <c r="C200" s="18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" customHeight="1">
      <c r="A201" s="17"/>
      <c r="B201" s="16"/>
      <c r="C201" s="18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" customHeight="1">
      <c r="A202" s="17"/>
      <c r="B202" s="16"/>
      <c r="C202" s="18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" customHeight="1">
      <c r="A203" s="17"/>
      <c r="B203" s="16"/>
      <c r="C203" s="18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" customHeight="1">
      <c r="A204" s="17"/>
      <c r="B204" s="16"/>
      <c r="C204" s="18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" customHeight="1">
      <c r="A205" s="17"/>
      <c r="B205" s="16"/>
      <c r="C205" s="18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" customHeight="1">
      <c r="A206" s="17"/>
      <c r="B206" s="16"/>
      <c r="C206" s="18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" customHeight="1">
      <c r="A207" s="17"/>
      <c r="B207" s="16"/>
      <c r="C207" s="18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" customHeight="1">
      <c r="A208" s="17"/>
      <c r="B208" s="16"/>
      <c r="C208" s="18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" customHeight="1">
      <c r="A209" s="17"/>
      <c r="B209" s="16"/>
      <c r="C209" s="18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" customHeight="1">
      <c r="A210" s="17"/>
      <c r="B210" s="16"/>
      <c r="C210" s="18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" customHeight="1">
      <c r="A211" s="17"/>
      <c r="B211" s="16"/>
      <c r="C211" s="18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" customHeight="1">
      <c r="A212" s="17"/>
      <c r="B212" s="16"/>
      <c r="C212" s="18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" customHeight="1">
      <c r="A213" s="17"/>
      <c r="B213" s="16"/>
      <c r="C213" s="18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" customHeight="1">
      <c r="A214" s="17"/>
      <c r="B214" s="16"/>
      <c r="C214" s="18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" customHeight="1">
      <c r="A215" s="17"/>
      <c r="B215" s="16"/>
      <c r="C215" s="18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" customHeight="1">
      <c r="A216" s="17"/>
      <c r="B216" s="16"/>
      <c r="C216" s="18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" customHeight="1">
      <c r="A217" s="17"/>
      <c r="B217" s="16"/>
      <c r="C217" s="18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" customHeight="1">
      <c r="A218" s="17"/>
      <c r="B218" s="16"/>
      <c r="C218" s="18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" customHeight="1">
      <c r="A219" s="17"/>
      <c r="B219" s="16"/>
      <c r="C219" s="18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" customHeight="1">
      <c r="A220" s="17"/>
      <c r="B220" s="16"/>
      <c r="C220" s="18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" customHeight="1">
      <c r="A221" s="17"/>
      <c r="B221" s="16"/>
      <c r="C221" s="18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" customHeight="1">
      <c r="A222" s="17"/>
      <c r="B222" s="16"/>
      <c r="C222" s="18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" customHeight="1">
      <c r="A223" s="17"/>
      <c r="B223" s="16"/>
      <c r="C223" s="18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" customHeight="1">
      <c r="A224" s="17"/>
      <c r="B224" s="16"/>
      <c r="C224" s="18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" customHeight="1">
      <c r="A225" s="17"/>
      <c r="B225" s="16"/>
      <c r="C225" s="18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" customHeight="1">
      <c r="A226" s="17"/>
      <c r="B226" s="16"/>
      <c r="C226" s="18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" customHeight="1">
      <c r="A227" s="17"/>
      <c r="B227" s="16"/>
      <c r="C227" s="18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" customHeight="1">
      <c r="A228" s="17"/>
      <c r="B228" s="16"/>
      <c r="C228" s="18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" customHeight="1">
      <c r="A229" s="17"/>
      <c r="B229" s="16"/>
      <c r="C229" s="18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" customHeight="1">
      <c r="A230" s="17"/>
      <c r="B230" s="16"/>
      <c r="C230" s="18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" customHeight="1">
      <c r="A231" s="17"/>
      <c r="B231" s="16"/>
      <c r="C231" s="18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" customHeight="1">
      <c r="A232" s="17"/>
      <c r="B232" s="16"/>
      <c r="C232" s="18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" customHeight="1">
      <c r="A233" s="17"/>
      <c r="B233" s="16"/>
      <c r="C233" s="18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" customHeight="1">
      <c r="A234" s="17"/>
      <c r="B234" s="16"/>
      <c r="C234" s="18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" customHeight="1">
      <c r="A235" s="17"/>
      <c r="B235" s="16"/>
      <c r="C235" s="18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" customHeight="1">
      <c r="A236" s="17"/>
      <c r="B236" s="16"/>
      <c r="C236" s="18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" customHeight="1">
      <c r="A237" s="17"/>
      <c r="B237" s="16"/>
      <c r="C237" s="18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" customHeight="1">
      <c r="A238" s="17"/>
      <c r="B238" s="16"/>
      <c r="C238" s="18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" customHeight="1">
      <c r="A239" s="17"/>
      <c r="B239" s="16"/>
      <c r="C239" s="18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" customHeight="1">
      <c r="A240" s="17"/>
      <c r="B240" s="16"/>
      <c r="C240" s="18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" customHeight="1">
      <c r="A241" s="17"/>
      <c r="B241" s="16"/>
      <c r="C241" s="18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" customHeight="1">
      <c r="A242" s="17"/>
      <c r="B242" s="16"/>
      <c r="C242" s="18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" customHeight="1">
      <c r="A243" s="17"/>
      <c r="B243" s="16"/>
      <c r="C243" s="18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" customHeight="1">
      <c r="A244" s="17"/>
      <c r="B244" s="16"/>
      <c r="C244" s="18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" customHeight="1">
      <c r="A245" s="17"/>
      <c r="B245" s="16"/>
      <c r="C245" s="18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" customHeight="1">
      <c r="A246" s="17"/>
      <c r="B246" s="16"/>
      <c r="C246" s="18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" customHeight="1">
      <c r="A247" s="17"/>
      <c r="B247" s="16"/>
      <c r="C247" s="18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" customHeight="1">
      <c r="A248" s="17"/>
      <c r="B248" s="16"/>
      <c r="C248" s="18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" customHeight="1">
      <c r="A249" s="17"/>
      <c r="B249" s="16"/>
      <c r="C249" s="18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" customHeight="1">
      <c r="A250" s="17"/>
      <c r="B250" s="16"/>
      <c r="C250" s="18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" customHeight="1">
      <c r="A251" s="17"/>
      <c r="B251" s="16"/>
      <c r="C251" s="18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" customHeight="1">
      <c r="A252" s="17"/>
      <c r="B252" s="16"/>
      <c r="C252" s="18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" customHeight="1">
      <c r="A253" s="17"/>
      <c r="B253" s="16"/>
      <c r="C253" s="18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" customHeight="1">
      <c r="A254" s="17"/>
      <c r="B254" s="16"/>
      <c r="C254" s="18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" customHeight="1">
      <c r="A255" s="17"/>
      <c r="B255" s="16"/>
      <c r="C255" s="18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" customHeight="1">
      <c r="A256" s="17"/>
      <c r="B256" s="16"/>
      <c r="C256" s="18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" customHeight="1">
      <c r="A257" s="17"/>
      <c r="B257" s="16"/>
      <c r="C257" s="18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" customHeight="1">
      <c r="A258" s="17"/>
      <c r="B258" s="16"/>
      <c r="C258" s="18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" customHeight="1">
      <c r="A259" s="17"/>
      <c r="B259" s="16"/>
      <c r="C259" s="18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" customHeight="1">
      <c r="A260" s="17"/>
      <c r="B260" s="16"/>
      <c r="C260" s="18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" customHeight="1">
      <c r="A261" s="17"/>
      <c r="B261" s="16"/>
      <c r="C261" s="18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" customHeight="1">
      <c r="A262" s="17"/>
      <c r="B262" s="16"/>
      <c r="C262" s="18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" customHeight="1">
      <c r="A263" s="17"/>
      <c r="B263" s="16"/>
      <c r="C263" s="18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" customHeight="1">
      <c r="A264" s="17"/>
      <c r="B264" s="16"/>
      <c r="C264" s="18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" customHeight="1">
      <c r="A265" s="17"/>
      <c r="B265" s="16"/>
      <c r="C265" s="18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" customHeight="1">
      <c r="A266" s="17"/>
      <c r="B266" s="16"/>
      <c r="C266" s="18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" customHeight="1">
      <c r="A267" s="17"/>
      <c r="B267" s="16"/>
      <c r="C267" s="18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" customHeight="1">
      <c r="A268" s="17"/>
      <c r="B268" s="16"/>
      <c r="C268" s="18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" customHeight="1">
      <c r="A269" s="17"/>
      <c r="B269" s="16"/>
      <c r="C269" s="18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" customHeight="1">
      <c r="A270" s="17"/>
      <c r="B270" s="16"/>
      <c r="C270" s="18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" customHeight="1">
      <c r="A271" s="17"/>
      <c r="B271" s="16"/>
      <c r="C271" s="18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" customHeight="1">
      <c r="A272" s="17"/>
      <c r="B272" s="16"/>
      <c r="C272" s="18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" customHeight="1">
      <c r="A273" s="17"/>
      <c r="B273" s="16"/>
      <c r="C273" s="18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" customHeight="1">
      <c r="A274" s="17"/>
      <c r="B274" s="16"/>
      <c r="C274" s="18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" customHeight="1">
      <c r="A275" s="17"/>
      <c r="B275" s="16"/>
      <c r="C275" s="18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" customHeight="1">
      <c r="A276" s="17"/>
      <c r="B276" s="16"/>
      <c r="C276" s="18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" customHeight="1">
      <c r="A277" s="17"/>
      <c r="B277" s="16"/>
      <c r="C277" s="18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" customHeight="1">
      <c r="A278" s="17"/>
      <c r="B278" s="16"/>
      <c r="C278" s="18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" customHeight="1">
      <c r="A279" s="17"/>
      <c r="B279" s="16"/>
      <c r="C279" s="18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" customHeight="1">
      <c r="A280" s="17"/>
      <c r="B280" s="16"/>
      <c r="C280" s="18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" customHeight="1">
      <c r="A281" s="17"/>
      <c r="B281" s="16"/>
      <c r="C281" s="18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" customHeight="1">
      <c r="A282" s="17"/>
      <c r="B282" s="16"/>
      <c r="C282" s="18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" customHeight="1">
      <c r="A283" s="17"/>
      <c r="B283" s="16"/>
      <c r="C283" s="18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" customHeight="1">
      <c r="A284" s="17"/>
      <c r="B284" s="16"/>
      <c r="C284" s="18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" customHeight="1">
      <c r="A285" s="17"/>
      <c r="B285" s="16"/>
      <c r="C285" s="18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" customHeight="1">
      <c r="A286" s="17"/>
      <c r="B286" s="16"/>
      <c r="C286" s="18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" customHeight="1">
      <c r="A287" s="17"/>
      <c r="B287" s="16"/>
      <c r="C287" s="18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" customHeight="1">
      <c r="A288" s="17"/>
      <c r="B288" s="16"/>
      <c r="C288" s="18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" customHeight="1">
      <c r="A289" s="17"/>
      <c r="B289" s="16"/>
      <c r="C289" s="18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" customHeight="1">
      <c r="A290" s="17"/>
      <c r="B290" s="16"/>
      <c r="C290" s="18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" customHeight="1">
      <c r="A291" s="17"/>
      <c r="B291" s="16"/>
      <c r="C291" s="18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" customHeight="1">
      <c r="A292" s="17"/>
      <c r="B292" s="16"/>
      <c r="C292" s="18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" customHeight="1">
      <c r="A293" s="17"/>
      <c r="B293" s="16"/>
      <c r="C293" s="18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" customHeight="1">
      <c r="A294" s="17"/>
      <c r="B294" s="16"/>
      <c r="C294" s="18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" customHeight="1">
      <c r="A295" s="17"/>
      <c r="B295" s="16"/>
      <c r="C295" s="18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" customHeight="1">
      <c r="A296" s="17"/>
      <c r="B296" s="16"/>
      <c r="C296" s="18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" customHeight="1">
      <c r="A297" s="17"/>
      <c r="B297" s="16"/>
      <c r="C297" s="18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" customHeight="1">
      <c r="A298" s="17"/>
      <c r="B298" s="16"/>
      <c r="C298" s="18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" customHeight="1">
      <c r="A299" s="17"/>
      <c r="B299" s="16"/>
      <c r="C299" s="18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" customHeight="1">
      <c r="A300" s="17"/>
      <c r="B300" s="16"/>
      <c r="C300" s="18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" customHeight="1">
      <c r="A301" s="17"/>
      <c r="B301" s="16"/>
      <c r="C301" s="18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" customHeight="1">
      <c r="A302" s="17"/>
      <c r="B302" s="16"/>
      <c r="C302" s="18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" customHeight="1">
      <c r="A303" s="17"/>
      <c r="B303" s="16"/>
      <c r="C303" s="18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" customHeight="1">
      <c r="A304" s="17"/>
      <c r="B304" s="16"/>
      <c r="C304" s="18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" customHeight="1">
      <c r="A305" s="17"/>
      <c r="B305" s="16"/>
      <c r="C305" s="18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" customHeight="1">
      <c r="A306" s="17"/>
      <c r="B306" s="16"/>
      <c r="C306" s="18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" customHeight="1">
      <c r="A307" s="17"/>
      <c r="B307" s="16"/>
      <c r="C307" s="18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" customHeight="1">
      <c r="A308" s="17"/>
      <c r="B308" s="16"/>
      <c r="C308" s="18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" customHeight="1">
      <c r="A309" s="17"/>
      <c r="B309" s="16"/>
      <c r="C309" s="18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" customHeight="1">
      <c r="A310" s="17"/>
      <c r="B310" s="16"/>
      <c r="C310" s="18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" customHeight="1">
      <c r="A311" s="17"/>
      <c r="B311" s="16"/>
      <c r="C311" s="18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" customHeight="1">
      <c r="A312" s="17"/>
      <c r="B312" s="16"/>
      <c r="C312" s="18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" customHeight="1">
      <c r="A313" s="17"/>
      <c r="B313" s="16"/>
      <c r="C313" s="18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" customHeight="1">
      <c r="A314" s="17"/>
      <c r="B314" s="16"/>
      <c r="C314" s="18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" customHeight="1">
      <c r="A315" s="17"/>
      <c r="B315" s="16"/>
      <c r="C315" s="18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" customHeight="1">
      <c r="A316" s="17"/>
      <c r="B316" s="16"/>
      <c r="C316" s="18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" customHeight="1">
      <c r="A317" s="17"/>
      <c r="B317" s="16"/>
      <c r="C317" s="18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" customHeight="1">
      <c r="A318" s="17"/>
      <c r="B318" s="16"/>
      <c r="C318" s="18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" customHeight="1">
      <c r="A319" s="17"/>
      <c r="B319" s="16"/>
      <c r="C319" s="18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" customHeight="1">
      <c r="A320" s="17"/>
      <c r="B320" s="16"/>
      <c r="C320" s="18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" customHeight="1">
      <c r="A321" s="17"/>
      <c r="B321" s="16"/>
      <c r="C321" s="18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" customHeight="1">
      <c r="A322" s="17"/>
      <c r="B322" s="16"/>
      <c r="C322" s="18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" customHeight="1">
      <c r="A323" s="17"/>
      <c r="B323" s="16"/>
      <c r="C323" s="18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" customHeight="1">
      <c r="A324" s="17"/>
      <c r="B324" s="16"/>
      <c r="C324" s="18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" customHeight="1">
      <c r="A325" s="17"/>
      <c r="B325" s="16"/>
      <c r="C325" s="18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" customHeight="1">
      <c r="A326" s="17"/>
      <c r="B326" s="16"/>
      <c r="C326" s="18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" customHeight="1">
      <c r="A327" s="17"/>
      <c r="B327" s="16"/>
      <c r="C327" s="18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" customHeight="1">
      <c r="A328" s="17"/>
      <c r="B328" s="16"/>
      <c r="C328" s="18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" customHeight="1">
      <c r="A329" s="17"/>
      <c r="B329" s="16"/>
      <c r="C329" s="18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" customHeight="1">
      <c r="A330" s="17"/>
      <c r="B330" s="16"/>
      <c r="C330" s="18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" customHeight="1">
      <c r="A331" s="17"/>
      <c r="B331" s="16"/>
      <c r="C331" s="18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" customHeight="1">
      <c r="A332" s="17"/>
      <c r="B332" s="16"/>
      <c r="C332" s="18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" customHeight="1">
      <c r="A333" s="17"/>
      <c r="B333" s="16"/>
      <c r="C333" s="18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" customHeight="1">
      <c r="A334" s="17"/>
      <c r="B334" s="16"/>
      <c r="C334" s="18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" customHeight="1">
      <c r="A335" s="17"/>
      <c r="B335" s="16"/>
      <c r="C335" s="18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" customHeight="1">
      <c r="A336" s="17"/>
      <c r="B336" s="16"/>
      <c r="C336" s="18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" customHeight="1">
      <c r="A337" s="17"/>
      <c r="B337" s="16"/>
      <c r="C337" s="18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" customHeight="1">
      <c r="A338" s="17"/>
      <c r="B338" s="16"/>
      <c r="C338" s="18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" customHeight="1">
      <c r="A339" s="17"/>
      <c r="B339" s="16"/>
      <c r="C339" s="18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" customHeight="1">
      <c r="A340" s="17"/>
      <c r="B340" s="16"/>
      <c r="C340" s="18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" customHeight="1">
      <c r="A341" s="17"/>
      <c r="B341" s="16"/>
      <c r="C341" s="18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" customHeight="1">
      <c r="A342" s="17"/>
      <c r="B342" s="16"/>
      <c r="C342" s="18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" customHeight="1">
      <c r="A343" s="17"/>
      <c r="B343" s="16"/>
      <c r="C343" s="18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" customHeight="1">
      <c r="A344" s="17"/>
      <c r="B344" s="16"/>
      <c r="C344" s="18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" customHeight="1">
      <c r="A345" s="17"/>
      <c r="B345" s="16"/>
      <c r="C345" s="18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" customHeight="1">
      <c r="A346" s="17"/>
      <c r="B346" s="16"/>
      <c r="C346" s="18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" customHeight="1">
      <c r="A347" s="17"/>
      <c r="B347" s="16"/>
      <c r="C347" s="18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" customHeight="1">
      <c r="A348" s="17"/>
      <c r="B348" s="16"/>
      <c r="C348" s="18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" customHeight="1">
      <c r="A349" s="17"/>
      <c r="B349" s="16"/>
      <c r="C349" s="18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" customHeight="1">
      <c r="A350" s="17"/>
      <c r="B350" s="16"/>
      <c r="C350" s="18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" customHeight="1">
      <c r="A351" s="17"/>
      <c r="B351" s="16"/>
      <c r="C351" s="18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" customHeight="1">
      <c r="A352" s="17"/>
      <c r="B352" s="16"/>
      <c r="C352" s="18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" customHeight="1">
      <c r="A353" s="17"/>
      <c r="B353" s="16"/>
      <c r="C353" s="18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" customHeight="1">
      <c r="A354" s="17"/>
      <c r="B354" s="16"/>
      <c r="C354" s="18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" customHeight="1">
      <c r="A355" s="17"/>
      <c r="B355" s="16"/>
      <c r="C355" s="18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" customHeight="1">
      <c r="A356" s="17"/>
      <c r="B356" s="16"/>
      <c r="C356" s="18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" customHeight="1">
      <c r="A357" s="17"/>
      <c r="B357" s="16"/>
      <c r="C357" s="18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" customHeight="1">
      <c r="A358" s="17"/>
      <c r="B358" s="16"/>
      <c r="C358" s="18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" customHeight="1">
      <c r="A359" s="17"/>
      <c r="B359" s="16"/>
      <c r="C359" s="18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" customHeight="1">
      <c r="A360" s="17"/>
      <c r="B360" s="16"/>
      <c r="C360" s="18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" customHeight="1">
      <c r="A361" s="17"/>
      <c r="B361" s="16"/>
      <c r="C361" s="18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" customHeight="1">
      <c r="A362" s="17"/>
      <c r="B362" s="16"/>
      <c r="C362" s="18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" customHeight="1">
      <c r="A363" s="17"/>
      <c r="B363" s="16"/>
      <c r="C363" s="18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" customHeight="1">
      <c r="A364" s="17"/>
      <c r="B364" s="16"/>
      <c r="C364" s="18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" customHeight="1">
      <c r="A365" s="17"/>
      <c r="B365" s="16"/>
      <c r="C365" s="18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" customHeight="1">
      <c r="A366" s="17"/>
      <c r="B366" s="16"/>
      <c r="C366" s="18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" customHeight="1">
      <c r="A367" s="17"/>
      <c r="B367" s="16"/>
      <c r="C367" s="18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" customHeight="1">
      <c r="A368" s="17"/>
      <c r="B368" s="16"/>
      <c r="C368" s="18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" customHeight="1">
      <c r="A369" s="17"/>
      <c r="B369" s="16"/>
      <c r="C369" s="18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" customHeight="1">
      <c r="A370" s="17"/>
      <c r="B370" s="16"/>
      <c r="C370" s="18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" customHeight="1">
      <c r="A371" s="17"/>
      <c r="B371" s="16"/>
      <c r="C371" s="18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" customHeight="1">
      <c r="A372" s="17"/>
      <c r="B372" s="16"/>
      <c r="C372" s="18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" customHeight="1">
      <c r="A373" s="17"/>
      <c r="B373" s="16"/>
      <c r="C373" s="18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" customHeight="1">
      <c r="A374" s="17"/>
      <c r="B374" s="16"/>
      <c r="C374" s="18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" customHeight="1">
      <c r="A375" s="17"/>
      <c r="B375" s="16"/>
      <c r="C375" s="18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" customHeight="1">
      <c r="A376" s="17"/>
      <c r="B376" s="16"/>
      <c r="C376" s="18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" customHeight="1">
      <c r="A377" s="17"/>
      <c r="B377" s="16"/>
      <c r="C377" s="18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" customHeight="1">
      <c r="A378" s="17"/>
      <c r="B378" s="16"/>
      <c r="C378" s="18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" customHeight="1">
      <c r="A379" s="17"/>
      <c r="B379" s="16"/>
      <c r="C379" s="18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" customHeight="1">
      <c r="A380" s="17"/>
      <c r="B380" s="16"/>
      <c r="C380" s="18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" customHeight="1">
      <c r="A381" s="17"/>
      <c r="B381" s="16"/>
      <c r="C381" s="18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" customHeight="1">
      <c r="A382" s="17"/>
      <c r="B382" s="16"/>
      <c r="C382" s="18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" customHeight="1">
      <c r="A383" s="17"/>
      <c r="B383" s="16"/>
      <c r="C383" s="18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" customHeight="1">
      <c r="A384" s="17"/>
      <c r="B384" s="16"/>
      <c r="C384" s="18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" customHeight="1">
      <c r="A385" s="17"/>
      <c r="B385" s="16"/>
      <c r="C385" s="18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" customHeight="1">
      <c r="A386" s="17"/>
      <c r="B386" s="16"/>
      <c r="C386" s="18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" customHeight="1">
      <c r="A387" s="17"/>
      <c r="B387" s="16"/>
      <c r="C387" s="18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" customHeight="1">
      <c r="A388" s="17"/>
      <c r="B388" s="16"/>
      <c r="C388" s="18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" customHeight="1">
      <c r="A389" s="17"/>
      <c r="B389" s="16"/>
      <c r="C389" s="18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" customHeight="1">
      <c r="A390" s="17"/>
      <c r="B390" s="16"/>
      <c r="C390" s="18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" customHeight="1">
      <c r="A391" s="17"/>
      <c r="B391" s="16"/>
      <c r="C391" s="18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" customHeight="1">
      <c r="A392" s="17"/>
      <c r="B392" s="16"/>
      <c r="C392" s="18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" customHeight="1">
      <c r="A393" s="17"/>
      <c r="B393" s="16"/>
      <c r="C393" s="18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" customHeight="1">
      <c r="A394" s="17"/>
      <c r="B394" s="16"/>
      <c r="C394" s="18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" customHeight="1">
      <c r="A395" s="17"/>
      <c r="B395" s="16"/>
      <c r="C395" s="18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" customHeight="1">
      <c r="A396" s="17"/>
      <c r="B396" s="16"/>
      <c r="C396" s="18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" customHeight="1">
      <c r="A397" s="17"/>
      <c r="B397" s="16"/>
      <c r="C397" s="18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" customHeight="1">
      <c r="A398" s="17"/>
      <c r="B398" s="16"/>
      <c r="C398" s="18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" customHeight="1">
      <c r="A399" s="17"/>
      <c r="B399" s="16"/>
      <c r="C399" s="18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" customHeight="1">
      <c r="A400" s="17"/>
      <c r="B400" s="16"/>
      <c r="C400" s="18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" customHeight="1">
      <c r="A401" s="17"/>
      <c r="B401" s="16"/>
      <c r="C401" s="18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" customHeight="1">
      <c r="A402" s="17"/>
      <c r="B402" s="16"/>
      <c r="C402" s="18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" customHeight="1">
      <c r="A403" s="17"/>
      <c r="B403" s="16"/>
      <c r="C403" s="18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" customHeight="1">
      <c r="A404" s="17"/>
      <c r="B404" s="16"/>
      <c r="C404" s="18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" customHeight="1">
      <c r="A405" s="17"/>
      <c r="B405" s="16"/>
      <c r="C405" s="18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" customHeight="1">
      <c r="A406" s="17"/>
      <c r="B406" s="16"/>
      <c r="C406" s="18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" customHeight="1">
      <c r="A407" s="17"/>
      <c r="B407" s="16"/>
      <c r="C407" s="18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" customHeight="1">
      <c r="A408" s="17"/>
      <c r="B408" s="16"/>
      <c r="C408" s="18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" customHeight="1">
      <c r="A409" s="17"/>
      <c r="B409" s="16"/>
      <c r="C409" s="18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" customHeight="1">
      <c r="A410" s="17"/>
      <c r="B410" s="16"/>
      <c r="C410" s="18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" customHeight="1">
      <c r="A411" s="17"/>
      <c r="B411" s="16"/>
      <c r="C411" s="18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" customHeight="1">
      <c r="A412" s="17"/>
      <c r="B412" s="16"/>
      <c r="C412" s="18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" customHeight="1">
      <c r="A413" s="17"/>
      <c r="B413" s="16"/>
      <c r="C413" s="18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" customHeight="1">
      <c r="A414" s="17"/>
      <c r="B414" s="16"/>
      <c r="C414" s="18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" customHeight="1">
      <c r="A415" s="17"/>
      <c r="B415" s="16"/>
      <c r="C415" s="18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" customHeight="1">
      <c r="A416" s="17"/>
      <c r="B416" s="16"/>
      <c r="C416" s="18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" customHeight="1">
      <c r="A417" s="17"/>
      <c r="B417" s="16"/>
      <c r="C417" s="18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" customHeight="1">
      <c r="A418" s="17"/>
      <c r="B418" s="16"/>
      <c r="C418" s="18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" customHeight="1">
      <c r="A419" s="17"/>
      <c r="B419" s="16"/>
      <c r="C419" s="18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" customHeight="1">
      <c r="A420" s="17"/>
      <c r="B420" s="16"/>
      <c r="C420" s="18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" customHeight="1">
      <c r="A421" s="17"/>
      <c r="B421" s="16"/>
      <c r="C421" s="18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" customHeight="1">
      <c r="A422" s="17"/>
      <c r="B422" s="16"/>
      <c r="C422" s="18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" customHeight="1">
      <c r="A423" s="17"/>
      <c r="B423" s="16"/>
      <c r="C423" s="18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" customHeight="1">
      <c r="A424" s="17"/>
      <c r="B424" s="16"/>
      <c r="C424" s="18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" customHeight="1">
      <c r="A425" s="17"/>
      <c r="B425" s="16"/>
      <c r="C425" s="18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" customHeight="1">
      <c r="A426" s="17"/>
      <c r="B426" s="16"/>
      <c r="C426" s="18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" customHeight="1">
      <c r="A427" s="17"/>
      <c r="B427" s="16"/>
      <c r="C427" s="18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" customHeight="1">
      <c r="A428" s="17"/>
      <c r="B428" s="16"/>
      <c r="C428" s="18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" customHeight="1">
      <c r="A429" s="17"/>
      <c r="B429" s="16"/>
      <c r="C429" s="18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" customHeight="1">
      <c r="A430" s="17"/>
      <c r="B430" s="16"/>
      <c r="C430" s="18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" customHeight="1">
      <c r="A431" s="17"/>
      <c r="B431" s="16"/>
      <c r="C431" s="18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" customHeight="1">
      <c r="A432" s="17"/>
      <c r="B432" s="16"/>
      <c r="C432" s="18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" customHeight="1">
      <c r="A433" s="17"/>
      <c r="B433" s="16"/>
      <c r="C433" s="18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" customHeight="1">
      <c r="A434" s="17"/>
      <c r="B434" s="16"/>
      <c r="C434" s="18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" customHeight="1">
      <c r="A435" s="17"/>
      <c r="B435" s="16"/>
      <c r="C435" s="18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" customHeight="1">
      <c r="A436" s="17"/>
      <c r="B436" s="16"/>
      <c r="C436" s="18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" customHeight="1">
      <c r="A437" s="17"/>
      <c r="B437" s="16"/>
      <c r="C437" s="18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" customHeight="1">
      <c r="A438" s="17"/>
      <c r="B438" s="16"/>
      <c r="C438" s="18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" customHeight="1">
      <c r="A439" s="17"/>
      <c r="B439" s="16"/>
      <c r="C439" s="18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" customHeight="1">
      <c r="A440" s="17"/>
      <c r="B440" s="16"/>
      <c r="C440" s="18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" customHeight="1">
      <c r="A441" s="17"/>
      <c r="B441" s="16"/>
      <c r="C441" s="18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" customHeight="1">
      <c r="A442" s="17"/>
      <c r="B442" s="16"/>
      <c r="C442" s="18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" customHeight="1">
      <c r="A443" s="17"/>
      <c r="B443" s="16"/>
      <c r="C443" s="18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" customHeight="1">
      <c r="A444" s="17"/>
      <c r="B444" s="16"/>
      <c r="C444" s="18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" customHeight="1">
      <c r="A445" s="17"/>
      <c r="B445" s="16"/>
      <c r="C445" s="18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" customHeight="1">
      <c r="A446" s="17"/>
      <c r="B446" s="16"/>
      <c r="C446" s="18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" customHeight="1">
      <c r="A447" s="17"/>
      <c r="B447" s="16"/>
      <c r="C447" s="18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" customHeight="1">
      <c r="A448" s="17"/>
      <c r="B448" s="16"/>
      <c r="C448" s="18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" customHeight="1">
      <c r="A449" s="17"/>
      <c r="B449" s="16"/>
      <c r="C449" s="18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" customHeight="1">
      <c r="A450" s="17"/>
      <c r="B450" s="16"/>
      <c r="C450" s="18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" customHeight="1">
      <c r="A451" s="17"/>
      <c r="B451" s="16"/>
      <c r="C451" s="18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" customHeight="1">
      <c r="A452" s="17"/>
      <c r="B452" s="16"/>
      <c r="C452" s="18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" customHeight="1">
      <c r="A453" s="17"/>
      <c r="B453" s="16"/>
      <c r="C453" s="18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" customHeight="1">
      <c r="A454" s="17"/>
      <c r="B454" s="16"/>
      <c r="C454" s="18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" customHeight="1">
      <c r="A455" s="17"/>
      <c r="B455" s="16"/>
      <c r="C455" s="18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" customHeight="1">
      <c r="A456" s="17"/>
      <c r="B456" s="16"/>
      <c r="C456" s="18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" customHeight="1">
      <c r="A457" s="17"/>
      <c r="B457" s="16"/>
      <c r="C457" s="18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" customHeight="1">
      <c r="A458" s="17"/>
      <c r="B458" s="16"/>
      <c r="C458" s="18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" customHeight="1">
      <c r="A459" s="17"/>
      <c r="B459" s="16"/>
      <c r="C459" s="18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" customHeight="1">
      <c r="A460" s="17"/>
      <c r="B460" s="16"/>
      <c r="C460" s="18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" customHeight="1">
      <c r="A461" s="17"/>
      <c r="B461" s="16"/>
      <c r="C461" s="18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" customHeight="1">
      <c r="A462" s="17"/>
      <c r="B462" s="16"/>
      <c r="C462" s="18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" customHeight="1">
      <c r="A463" s="17"/>
      <c r="B463" s="16"/>
      <c r="C463" s="18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" customHeight="1">
      <c r="A464" s="17"/>
      <c r="B464" s="16"/>
      <c r="C464" s="18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" customHeight="1">
      <c r="A465" s="17"/>
      <c r="B465" s="16"/>
      <c r="C465" s="18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" customHeight="1">
      <c r="A466" s="17"/>
      <c r="B466" s="16"/>
      <c r="C466" s="18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" customHeight="1">
      <c r="A467" s="17"/>
      <c r="B467" s="16"/>
      <c r="C467" s="18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" customHeight="1">
      <c r="A468" s="17"/>
      <c r="B468" s="16"/>
      <c r="C468" s="18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" customHeight="1">
      <c r="A469" s="17"/>
      <c r="B469" s="16"/>
      <c r="C469" s="18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" customHeight="1">
      <c r="A470" s="17"/>
      <c r="B470" s="16"/>
      <c r="C470" s="18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" customHeight="1">
      <c r="A471" s="17"/>
      <c r="B471" s="16"/>
      <c r="C471" s="18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" customHeight="1">
      <c r="A472" s="17"/>
      <c r="B472" s="16"/>
      <c r="C472" s="18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" customHeight="1">
      <c r="A473" s="17"/>
      <c r="B473" s="16"/>
      <c r="C473" s="18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" customHeight="1">
      <c r="A474" s="17"/>
      <c r="B474" s="16"/>
      <c r="C474" s="18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" customHeight="1">
      <c r="A475" s="17"/>
      <c r="B475" s="16"/>
      <c r="C475" s="18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" customHeight="1">
      <c r="A476" s="17"/>
      <c r="B476" s="16"/>
      <c r="C476" s="18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" customHeight="1">
      <c r="A477" s="17"/>
      <c r="B477" s="16"/>
      <c r="C477" s="18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" customHeight="1">
      <c r="A478" s="17"/>
      <c r="B478" s="16"/>
      <c r="C478" s="18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" customHeight="1">
      <c r="A479" s="17"/>
      <c r="B479" s="16"/>
      <c r="C479" s="18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" customHeight="1">
      <c r="A480" s="17"/>
      <c r="B480" s="16"/>
      <c r="C480" s="18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" customHeight="1">
      <c r="A481" s="17"/>
      <c r="B481" s="16"/>
      <c r="C481" s="18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" customHeight="1">
      <c r="A482" s="17"/>
      <c r="B482" s="16"/>
      <c r="C482" s="18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" customHeight="1">
      <c r="A483" s="17"/>
      <c r="B483" s="16"/>
      <c r="C483" s="18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" customHeight="1">
      <c r="A484" s="17"/>
      <c r="B484" s="16"/>
      <c r="C484" s="18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" customHeight="1">
      <c r="A485" s="17"/>
      <c r="B485" s="16"/>
      <c r="C485" s="18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" customHeight="1">
      <c r="A486" s="17"/>
      <c r="B486" s="16"/>
      <c r="C486" s="18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" customHeight="1">
      <c r="A487" s="17"/>
      <c r="B487" s="16"/>
      <c r="C487" s="18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" customHeight="1">
      <c r="A488" s="17"/>
      <c r="B488" s="16"/>
      <c r="C488" s="18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" customHeight="1">
      <c r="A489" s="17"/>
      <c r="B489" s="16"/>
      <c r="C489" s="18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" customHeight="1">
      <c r="A490" s="17"/>
      <c r="B490" s="16"/>
      <c r="C490" s="18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" customHeight="1">
      <c r="A491" s="17"/>
      <c r="B491" s="16"/>
      <c r="C491" s="18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" customHeight="1">
      <c r="A492" s="17"/>
      <c r="B492" s="16"/>
      <c r="C492" s="18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" customHeight="1">
      <c r="A493" s="17"/>
      <c r="B493" s="16"/>
      <c r="C493" s="18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" customHeight="1">
      <c r="A494" s="17"/>
      <c r="B494" s="16"/>
      <c r="C494" s="18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" customHeight="1">
      <c r="A495" s="17"/>
      <c r="B495" s="16"/>
      <c r="C495" s="18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" customHeight="1">
      <c r="A496" s="17"/>
      <c r="B496" s="16"/>
      <c r="C496" s="18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" customHeight="1">
      <c r="A497" s="17"/>
      <c r="B497" s="16"/>
      <c r="C497" s="18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" customHeight="1">
      <c r="A498" s="17"/>
      <c r="B498" s="16"/>
      <c r="C498" s="18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" customHeight="1">
      <c r="A499" s="17"/>
      <c r="B499" s="16"/>
      <c r="C499" s="18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" customHeight="1">
      <c r="A500" s="17"/>
      <c r="B500" s="16"/>
      <c r="C500" s="18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" customHeight="1">
      <c r="A501" s="17"/>
      <c r="B501" s="16"/>
      <c r="C501" s="18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" customHeight="1">
      <c r="A502" s="17"/>
      <c r="B502" s="16"/>
      <c r="C502" s="18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" customHeight="1">
      <c r="A503" s="17"/>
      <c r="B503" s="16"/>
      <c r="C503" s="18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" customHeight="1">
      <c r="A504" s="17"/>
      <c r="B504" s="16"/>
      <c r="C504" s="18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" customHeight="1">
      <c r="A505" s="17"/>
      <c r="B505" s="16"/>
      <c r="C505" s="18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" customHeight="1">
      <c r="A506" s="17"/>
      <c r="B506" s="16"/>
      <c r="C506" s="18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" customHeight="1">
      <c r="A507" s="17"/>
      <c r="B507" s="16"/>
      <c r="C507" s="18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" customHeight="1">
      <c r="A508" s="17"/>
      <c r="B508" s="16"/>
      <c r="C508" s="18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" customHeight="1">
      <c r="A509" s="17"/>
      <c r="B509" s="16"/>
      <c r="C509" s="18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" customHeight="1">
      <c r="A510" s="17"/>
      <c r="B510" s="16"/>
      <c r="C510" s="18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" customHeight="1">
      <c r="A511" s="17"/>
      <c r="B511" s="16"/>
      <c r="C511" s="18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" customHeight="1">
      <c r="A512" s="17"/>
      <c r="B512" s="16"/>
      <c r="C512" s="18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" customHeight="1">
      <c r="A513" s="17"/>
      <c r="B513" s="16"/>
      <c r="C513" s="18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" customHeight="1">
      <c r="A514" s="17"/>
      <c r="B514" s="16"/>
      <c r="C514" s="18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" customHeight="1">
      <c r="A515" s="17"/>
      <c r="B515" s="16"/>
      <c r="C515" s="18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" customHeight="1">
      <c r="A516" s="17"/>
      <c r="B516" s="16"/>
      <c r="C516" s="18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" customHeight="1">
      <c r="A517" s="17"/>
      <c r="B517" s="16"/>
      <c r="C517" s="18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" customHeight="1">
      <c r="A518" s="17"/>
      <c r="B518" s="16"/>
      <c r="C518" s="18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" customHeight="1">
      <c r="A519" s="17"/>
      <c r="B519" s="16"/>
      <c r="C519" s="18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" customHeight="1">
      <c r="A520" s="17"/>
      <c r="B520" s="16"/>
      <c r="C520" s="18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" customHeight="1">
      <c r="A521" s="17"/>
      <c r="B521" s="16"/>
      <c r="C521" s="18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" customHeight="1">
      <c r="A522" s="17"/>
      <c r="B522" s="16"/>
      <c r="C522" s="18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" customHeight="1">
      <c r="A523" s="17"/>
      <c r="B523" s="16"/>
      <c r="C523" s="18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" customHeight="1">
      <c r="A524" s="17"/>
      <c r="B524" s="16"/>
      <c r="C524" s="18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" customHeight="1">
      <c r="A525" s="17"/>
      <c r="B525" s="16"/>
      <c r="C525" s="18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" customHeight="1">
      <c r="A526" s="17"/>
      <c r="B526" s="16"/>
      <c r="C526" s="18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" customHeight="1">
      <c r="A527" s="17"/>
      <c r="B527" s="16"/>
      <c r="C527" s="18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" customHeight="1">
      <c r="A528" s="17"/>
      <c r="B528" s="16"/>
      <c r="C528" s="18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" customHeight="1">
      <c r="A529" s="17"/>
      <c r="B529" s="16"/>
      <c r="C529" s="18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" customHeight="1">
      <c r="A530" s="17"/>
      <c r="B530" s="16"/>
      <c r="C530" s="18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" customHeight="1">
      <c r="A531" s="17"/>
      <c r="B531" s="16"/>
      <c r="C531" s="18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" customHeight="1">
      <c r="A532" s="17"/>
      <c r="B532" s="16"/>
      <c r="C532" s="18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" customHeight="1">
      <c r="A533" s="17"/>
      <c r="B533" s="16"/>
      <c r="C533" s="18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" customHeight="1">
      <c r="A534" s="17"/>
      <c r="B534" s="16"/>
      <c r="C534" s="18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" customHeight="1">
      <c r="A535" s="17"/>
      <c r="B535" s="16"/>
      <c r="C535" s="18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" customHeight="1">
      <c r="A536" s="17"/>
      <c r="B536" s="16"/>
      <c r="C536" s="18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" customHeight="1">
      <c r="A537" s="17"/>
      <c r="B537" s="16"/>
      <c r="C537" s="18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" customHeight="1">
      <c r="A538" s="17"/>
      <c r="B538" s="16"/>
      <c r="C538" s="18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" customHeight="1">
      <c r="A539" s="17"/>
      <c r="B539" s="16"/>
      <c r="C539" s="18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" customHeight="1">
      <c r="A540" s="17"/>
      <c r="B540" s="16"/>
      <c r="C540" s="18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" customHeight="1">
      <c r="A541" s="17"/>
      <c r="B541" s="16"/>
      <c r="C541" s="18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" customHeight="1">
      <c r="A542" s="17"/>
      <c r="B542" s="16"/>
      <c r="C542" s="18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" customHeight="1">
      <c r="A543" s="17"/>
      <c r="B543" s="16"/>
      <c r="C543" s="18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" customHeight="1">
      <c r="A544" s="17"/>
      <c r="B544" s="16"/>
      <c r="C544" s="18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" customHeight="1">
      <c r="A545" s="17"/>
      <c r="B545" s="16"/>
      <c r="C545" s="18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" customHeight="1">
      <c r="A546" s="17"/>
      <c r="B546" s="16"/>
      <c r="C546" s="18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" customHeight="1">
      <c r="A547" s="17"/>
      <c r="B547" s="16"/>
      <c r="C547" s="18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" customHeight="1">
      <c r="A548" s="17"/>
      <c r="B548" s="16"/>
      <c r="C548" s="18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" customHeight="1">
      <c r="A549" s="17"/>
      <c r="B549" s="16"/>
      <c r="C549" s="18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" customHeight="1">
      <c r="A550" s="17"/>
      <c r="B550" s="16"/>
      <c r="C550" s="18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" customHeight="1">
      <c r="A551" s="17"/>
      <c r="B551" s="16"/>
      <c r="C551" s="18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" customHeight="1">
      <c r="A552" s="17"/>
      <c r="B552" s="16"/>
      <c r="C552" s="18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" customHeight="1">
      <c r="A553" s="17"/>
      <c r="B553" s="16"/>
      <c r="C553" s="18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" customHeight="1">
      <c r="A554" s="17"/>
      <c r="B554" s="16"/>
      <c r="C554" s="18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" customHeight="1">
      <c r="A555" s="17"/>
      <c r="B555" s="16"/>
      <c r="C555" s="18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" customHeight="1">
      <c r="A556" s="17"/>
      <c r="B556" s="16"/>
      <c r="C556" s="18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" customHeight="1">
      <c r="A557" s="17"/>
      <c r="B557" s="16"/>
      <c r="C557" s="18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" customHeight="1">
      <c r="A558" s="17"/>
      <c r="B558" s="16"/>
      <c r="C558" s="18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" customHeight="1">
      <c r="A559" s="17"/>
      <c r="B559" s="16"/>
      <c r="C559" s="18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" customHeight="1">
      <c r="A560" s="17"/>
      <c r="B560" s="16"/>
      <c r="C560" s="18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" customHeight="1">
      <c r="A561" s="17"/>
      <c r="B561" s="16"/>
      <c r="C561" s="18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" customHeight="1">
      <c r="A562" s="17"/>
      <c r="B562" s="16"/>
      <c r="C562" s="18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" customHeight="1">
      <c r="A563" s="17"/>
      <c r="B563" s="16"/>
      <c r="C563" s="18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" customHeight="1">
      <c r="A564" s="17"/>
      <c r="B564" s="16"/>
      <c r="C564" s="18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" customHeight="1">
      <c r="A565" s="17"/>
      <c r="B565" s="16"/>
      <c r="C565" s="18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" customHeight="1">
      <c r="A566" s="17"/>
      <c r="B566" s="16"/>
      <c r="C566" s="18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" customHeight="1">
      <c r="A567" s="17"/>
      <c r="B567" s="16"/>
      <c r="C567" s="18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" customHeight="1">
      <c r="A568" s="17"/>
      <c r="B568" s="16"/>
      <c r="C568" s="18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" customHeight="1">
      <c r="A569" s="17"/>
      <c r="B569" s="16"/>
      <c r="C569" s="18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" customHeight="1">
      <c r="A570" s="17"/>
      <c r="B570" s="16"/>
      <c r="C570" s="18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" customHeight="1">
      <c r="A571" s="17"/>
      <c r="B571" s="16"/>
      <c r="C571" s="18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" customHeight="1">
      <c r="A572" s="17"/>
      <c r="B572" s="16"/>
      <c r="C572" s="18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" customHeight="1">
      <c r="A573" s="17"/>
      <c r="B573" s="16"/>
      <c r="C573" s="18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" customHeight="1">
      <c r="A574" s="17"/>
      <c r="B574" s="16"/>
      <c r="C574" s="18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" customHeight="1">
      <c r="A575" s="17"/>
      <c r="B575" s="16"/>
      <c r="C575" s="18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" customHeight="1">
      <c r="A576" s="17"/>
      <c r="B576" s="16"/>
      <c r="C576" s="18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" customHeight="1">
      <c r="A577" s="17"/>
      <c r="B577" s="16"/>
      <c r="C577" s="18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" customHeight="1">
      <c r="A578" s="17"/>
      <c r="B578" s="16"/>
      <c r="C578" s="18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" customHeight="1">
      <c r="A579" s="17"/>
      <c r="B579" s="16"/>
      <c r="C579" s="18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" customHeight="1">
      <c r="A580" s="17"/>
      <c r="B580" s="16"/>
      <c r="C580" s="18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" customHeight="1">
      <c r="A581" s="17"/>
      <c r="B581" s="16"/>
      <c r="C581" s="18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" customHeight="1">
      <c r="A582" s="17"/>
      <c r="B582" s="16"/>
      <c r="C582" s="18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" customHeight="1">
      <c r="A583" s="17"/>
      <c r="B583" s="16"/>
      <c r="C583" s="18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" customHeight="1">
      <c r="A584" s="17"/>
      <c r="B584" s="16"/>
      <c r="C584" s="18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" customHeight="1">
      <c r="A585" s="17"/>
      <c r="B585" s="16"/>
      <c r="C585" s="18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" customHeight="1">
      <c r="A586" s="17"/>
      <c r="B586" s="16"/>
      <c r="C586" s="18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" customHeight="1">
      <c r="A587" s="17"/>
      <c r="B587" s="16"/>
      <c r="C587" s="18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" customHeight="1">
      <c r="A588" s="17"/>
      <c r="B588" s="16"/>
      <c r="C588" s="18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" customHeight="1">
      <c r="A589" s="17"/>
      <c r="B589" s="16"/>
      <c r="C589" s="18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" customHeight="1">
      <c r="A590" s="17"/>
      <c r="B590" s="16"/>
      <c r="C590" s="18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" customHeight="1">
      <c r="A591" s="17"/>
      <c r="B591" s="16"/>
      <c r="C591" s="18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" customHeight="1">
      <c r="A592" s="17"/>
      <c r="B592" s="16"/>
      <c r="C592" s="18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" customHeight="1">
      <c r="A593" s="17"/>
      <c r="B593" s="16"/>
      <c r="C593" s="18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" customHeight="1">
      <c r="A594" s="17"/>
      <c r="B594" s="16"/>
      <c r="C594" s="18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" customHeight="1">
      <c r="A595" s="17"/>
      <c r="B595" s="16"/>
      <c r="C595" s="18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" customHeight="1">
      <c r="A596" s="17"/>
      <c r="B596" s="16"/>
      <c r="C596" s="18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" customHeight="1">
      <c r="A597" s="17"/>
      <c r="B597" s="16"/>
      <c r="C597" s="18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" customHeight="1">
      <c r="A598" s="17"/>
      <c r="B598" s="16"/>
      <c r="C598" s="18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" customHeight="1">
      <c r="A599" s="17"/>
      <c r="B599" s="16"/>
      <c r="C599" s="18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" customHeight="1">
      <c r="A600" s="17"/>
      <c r="B600" s="16"/>
      <c r="C600" s="18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" customHeight="1">
      <c r="A601" s="17"/>
      <c r="B601" s="16"/>
      <c r="C601" s="18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" customHeight="1">
      <c r="A602" s="17"/>
      <c r="B602" s="16"/>
      <c r="C602" s="18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" customHeight="1">
      <c r="A603" s="17"/>
      <c r="B603" s="16"/>
      <c r="C603" s="18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" customHeight="1">
      <c r="A604" s="17"/>
      <c r="B604" s="16"/>
      <c r="C604" s="18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" customHeight="1">
      <c r="A605" s="17"/>
      <c r="B605" s="16"/>
      <c r="C605" s="18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" customHeight="1">
      <c r="A606" s="17"/>
      <c r="B606" s="16"/>
      <c r="C606" s="18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" customHeight="1">
      <c r="A607" s="17"/>
      <c r="B607" s="16"/>
      <c r="C607" s="18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" customHeight="1">
      <c r="A608" s="17"/>
      <c r="B608" s="16"/>
      <c r="C608" s="18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" customHeight="1">
      <c r="A609" s="17"/>
      <c r="B609" s="16"/>
      <c r="C609" s="18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" customHeight="1">
      <c r="A610" s="17"/>
      <c r="B610" s="16"/>
      <c r="C610" s="18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" customHeight="1">
      <c r="A611" s="17"/>
      <c r="B611" s="16"/>
      <c r="C611" s="18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" customHeight="1">
      <c r="A612" s="17"/>
      <c r="B612" s="16"/>
      <c r="C612" s="18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" customHeight="1">
      <c r="A613" s="17"/>
      <c r="B613" s="16"/>
      <c r="C613" s="18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" customHeight="1">
      <c r="A614" s="17"/>
      <c r="B614" s="16"/>
      <c r="C614" s="18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" customHeight="1">
      <c r="A615" s="17"/>
      <c r="B615" s="16"/>
      <c r="C615" s="18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" customHeight="1">
      <c r="A616" s="17"/>
      <c r="B616" s="16"/>
      <c r="C616" s="18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" customHeight="1">
      <c r="A617" s="17"/>
      <c r="B617" s="16"/>
      <c r="C617" s="18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" customHeight="1">
      <c r="A618" s="17"/>
      <c r="B618" s="16"/>
      <c r="C618" s="18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" customHeight="1">
      <c r="A619" s="17"/>
      <c r="B619" s="16"/>
      <c r="C619" s="18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" customHeight="1">
      <c r="A620" s="17"/>
      <c r="B620" s="16"/>
      <c r="C620" s="18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" customHeight="1">
      <c r="A621" s="17"/>
      <c r="B621" s="16"/>
      <c r="C621" s="18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" customHeight="1">
      <c r="A622" s="17"/>
      <c r="B622" s="16"/>
      <c r="C622" s="18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" customHeight="1">
      <c r="A623" s="17"/>
      <c r="B623" s="16"/>
      <c r="C623" s="18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" customHeight="1">
      <c r="A624" s="17"/>
      <c r="B624" s="16"/>
      <c r="C624" s="18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" customHeight="1">
      <c r="A625" s="17"/>
      <c r="B625" s="16"/>
      <c r="C625" s="18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" customHeight="1">
      <c r="A626" s="17"/>
      <c r="B626" s="16"/>
      <c r="C626" s="18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" customHeight="1">
      <c r="A627" s="17"/>
      <c r="B627" s="16"/>
      <c r="C627" s="18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" customHeight="1">
      <c r="A628" s="17"/>
      <c r="B628" s="16"/>
      <c r="C628" s="18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" customHeight="1">
      <c r="A629" s="17"/>
      <c r="B629" s="16"/>
      <c r="C629" s="18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" customHeight="1">
      <c r="A630" s="17"/>
      <c r="B630" s="16"/>
      <c r="C630" s="18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" customHeight="1">
      <c r="A631" s="17"/>
      <c r="B631" s="16"/>
      <c r="C631" s="18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" customHeight="1">
      <c r="A632" s="17"/>
      <c r="B632" s="16"/>
      <c r="C632" s="18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" customHeight="1">
      <c r="A633" s="17"/>
      <c r="B633" s="16"/>
      <c r="C633" s="18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" customHeight="1">
      <c r="A634" s="17"/>
      <c r="B634" s="16"/>
      <c r="C634" s="18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" customHeight="1">
      <c r="A635" s="17"/>
      <c r="B635" s="16"/>
      <c r="C635" s="18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" customHeight="1">
      <c r="A636" s="17"/>
      <c r="B636" s="16"/>
      <c r="C636" s="18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" customHeight="1">
      <c r="A637" s="17"/>
      <c r="B637" s="16"/>
      <c r="C637" s="18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" customHeight="1">
      <c r="A638" s="17"/>
      <c r="B638" s="16"/>
      <c r="C638" s="18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" customHeight="1">
      <c r="A639" s="17"/>
      <c r="B639" s="16"/>
      <c r="C639" s="18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" customHeight="1">
      <c r="A640" s="17"/>
      <c r="B640" s="16"/>
      <c r="C640" s="18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" customHeight="1">
      <c r="A641" s="17"/>
      <c r="B641" s="16"/>
      <c r="C641" s="18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" customHeight="1">
      <c r="A642" s="17"/>
      <c r="B642" s="16"/>
      <c r="C642" s="18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" customHeight="1">
      <c r="A643" s="17"/>
      <c r="B643" s="16"/>
      <c r="C643" s="18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" customHeight="1">
      <c r="A644" s="17"/>
      <c r="B644" s="16"/>
      <c r="C644" s="18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" customHeight="1">
      <c r="A645" s="17"/>
      <c r="B645" s="16"/>
      <c r="C645" s="18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" customHeight="1">
      <c r="A646" s="17"/>
      <c r="B646" s="16"/>
      <c r="C646" s="18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" customHeight="1">
      <c r="A647" s="17"/>
      <c r="B647" s="16"/>
      <c r="C647" s="18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" customHeight="1">
      <c r="A648" s="17"/>
      <c r="B648" s="16"/>
      <c r="C648" s="18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" customHeight="1">
      <c r="A649" s="17"/>
      <c r="B649" s="16"/>
      <c r="C649" s="18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" customHeight="1">
      <c r="A650" s="17"/>
      <c r="B650" s="16"/>
      <c r="C650" s="18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" customHeight="1">
      <c r="A651" s="17"/>
      <c r="B651" s="16"/>
      <c r="C651" s="18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" customHeight="1">
      <c r="A652" s="17"/>
      <c r="B652" s="16"/>
      <c r="C652" s="18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" customHeight="1">
      <c r="A653" s="17"/>
      <c r="B653" s="16"/>
      <c r="C653" s="18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" customHeight="1">
      <c r="A654" s="17"/>
      <c r="B654" s="16"/>
      <c r="C654" s="18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" customHeight="1">
      <c r="A655" s="17"/>
      <c r="B655" s="16"/>
      <c r="C655" s="18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" customHeight="1">
      <c r="A656" s="17"/>
      <c r="B656" s="16"/>
      <c r="C656" s="18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" customHeight="1">
      <c r="A657" s="17"/>
      <c r="B657" s="16"/>
      <c r="C657" s="18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" customHeight="1">
      <c r="A658" s="17"/>
      <c r="B658" s="16"/>
      <c r="C658" s="18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" customHeight="1">
      <c r="A659" s="17"/>
      <c r="B659" s="16"/>
      <c r="C659" s="18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" customHeight="1">
      <c r="A660" s="17"/>
      <c r="B660" s="16"/>
      <c r="C660" s="18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" customHeight="1">
      <c r="A661" s="17"/>
      <c r="B661" s="16"/>
      <c r="C661" s="18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" customHeight="1">
      <c r="A662" s="17"/>
      <c r="B662" s="16"/>
      <c r="C662" s="18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" customHeight="1">
      <c r="A663" s="17"/>
      <c r="B663" s="16"/>
      <c r="C663" s="18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" customHeight="1">
      <c r="A664" s="17"/>
      <c r="B664" s="16"/>
      <c r="C664" s="18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" customHeight="1">
      <c r="A665" s="17"/>
      <c r="B665" s="16"/>
      <c r="C665" s="18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" customHeight="1">
      <c r="A666" s="17"/>
      <c r="B666" s="16"/>
      <c r="C666" s="18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" customHeight="1">
      <c r="A667" s="17"/>
      <c r="B667" s="16"/>
      <c r="C667" s="18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" customHeight="1">
      <c r="A668" s="17"/>
      <c r="B668" s="16"/>
      <c r="C668" s="18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" customHeight="1">
      <c r="A669" s="17"/>
      <c r="B669" s="16"/>
      <c r="C669" s="18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" customHeight="1">
      <c r="A670" s="17"/>
      <c r="B670" s="16"/>
      <c r="C670" s="18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" customHeight="1">
      <c r="A671" s="17"/>
      <c r="B671" s="16"/>
      <c r="C671" s="18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" customHeight="1">
      <c r="A672" s="17"/>
      <c r="B672" s="16"/>
      <c r="C672" s="18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" customHeight="1">
      <c r="A673" s="17"/>
      <c r="B673" s="16"/>
      <c r="C673" s="18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" customHeight="1">
      <c r="A674" s="17"/>
      <c r="B674" s="16"/>
      <c r="C674" s="18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" customHeight="1">
      <c r="A675" s="17"/>
      <c r="B675" s="16"/>
      <c r="C675" s="18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" customHeight="1">
      <c r="A676" s="17"/>
      <c r="B676" s="16"/>
      <c r="C676" s="18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" customHeight="1">
      <c r="A677" s="17"/>
      <c r="B677" s="16"/>
      <c r="C677" s="18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" customHeight="1">
      <c r="A678" s="17"/>
      <c r="B678" s="16"/>
      <c r="C678" s="18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" customHeight="1">
      <c r="A679" s="17"/>
      <c r="B679" s="16"/>
      <c r="C679" s="18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" customHeight="1">
      <c r="A680" s="17"/>
      <c r="B680" s="16"/>
      <c r="C680" s="18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" customHeight="1">
      <c r="A681" s="17"/>
      <c r="B681" s="16"/>
      <c r="C681" s="18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" customHeight="1">
      <c r="A682" s="17"/>
      <c r="B682" s="16"/>
      <c r="C682" s="18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" customHeight="1">
      <c r="A683" s="17"/>
      <c r="B683" s="16"/>
      <c r="C683" s="18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" customHeight="1">
      <c r="A684" s="17"/>
      <c r="B684" s="16"/>
      <c r="C684" s="18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" customHeight="1">
      <c r="A685" s="17"/>
      <c r="B685" s="16"/>
      <c r="C685" s="18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" customHeight="1">
      <c r="A686" s="17"/>
      <c r="B686" s="16"/>
      <c r="C686" s="18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" customHeight="1">
      <c r="A687" s="17"/>
      <c r="B687" s="16"/>
      <c r="C687" s="18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" customHeight="1">
      <c r="A688" s="17"/>
      <c r="B688" s="16"/>
      <c r="C688" s="18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" customHeight="1">
      <c r="A689" s="17"/>
      <c r="B689" s="16"/>
      <c r="C689" s="18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" customHeight="1">
      <c r="A690" s="17"/>
      <c r="B690" s="16"/>
      <c r="C690" s="18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" customHeight="1">
      <c r="A691" s="17"/>
      <c r="B691" s="16"/>
      <c r="C691" s="18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" customHeight="1">
      <c r="A692" s="17"/>
      <c r="B692" s="16"/>
      <c r="C692" s="18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" customHeight="1">
      <c r="A693" s="17"/>
      <c r="B693" s="16"/>
      <c r="C693" s="18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" customHeight="1">
      <c r="A694" s="17"/>
      <c r="B694" s="16"/>
      <c r="C694" s="18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" customHeight="1">
      <c r="A695" s="17"/>
      <c r="B695" s="16"/>
      <c r="C695" s="18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" customHeight="1">
      <c r="A696" s="17"/>
      <c r="B696" s="16"/>
      <c r="C696" s="18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" customHeight="1">
      <c r="A697" s="17"/>
      <c r="B697" s="16"/>
      <c r="C697" s="18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" customHeight="1">
      <c r="A698" s="17"/>
      <c r="B698" s="16"/>
      <c r="C698" s="18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" customHeight="1">
      <c r="A699" s="17"/>
      <c r="B699" s="16"/>
      <c r="C699" s="18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" customHeight="1">
      <c r="A700" s="17"/>
      <c r="B700" s="16"/>
      <c r="C700" s="18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" customHeight="1">
      <c r="A701" s="17"/>
      <c r="B701" s="16"/>
      <c r="C701" s="18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" customHeight="1">
      <c r="A702" s="17"/>
      <c r="B702" s="16"/>
      <c r="C702" s="18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" customHeight="1">
      <c r="A703" s="17"/>
      <c r="B703" s="16"/>
      <c r="C703" s="18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" customHeight="1">
      <c r="A704" s="17"/>
      <c r="B704" s="16"/>
      <c r="C704" s="18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" customHeight="1">
      <c r="A705" s="17"/>
      <c r="B705" s="16"/>
      <c r="C705" s="18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" customHeight="1">
      <c r="A706" s="17"/>
      <c r="B706" s="16"/>
      <c r="C706" s="18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" customHeight="1">
      <c r="A707" s="17"/>
      <c r="B707" s="16"/>
      <c r="C707" s="18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" customHeight="1">
      <c r="A708" s="17"/>
      <c r="B708" s="16"/>
      <c r="C708" s="18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" customHeight="1">
      <c r="A709" s="17"/>
      <c r="B709" s="16"/>
      <c r="C709" s="18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" customHeight="1">
      <c r="A710" s="17"/>
      <c r="B710" s="16"/>
      <c r="C710" s="18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" customHeight="1">
      <c r="A711" s="17"/>
      <c r="B711" s="16"/>
      <c r="C711" s="18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" customHeight="1">
      <c r="A712" s="17"/>
      <c r="B712" s="16"/>
      <c r="C712" s="18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" customHeight="1">
      <c r="A713" s="17"/>
      <c r="B713" s="16"/>
      <c r="C713" s="18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" customHeight="1">
      <c r="A714" s="17"/>
      <c r="B714" s="16"/>
      <c r="C714" s="18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" customHeight="1">
      <c r="A715" s="17"/>
      <c r="B715" s="16"/>
      <c r="C715" s="18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" customHeight="1">
      <c r="A716" s="17"/>
      <c r="B716" s="16"/>
      <c r="C716" s="18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" customHeight="1">
      <c r="A717" s="17"/>
      <c r="B717" s="16"/>
      <c r="C717" s="18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" customHeight="1">
      <c r="A718" s="17"/>
      <c r="B718" s="16"/>
      <c r="C718" s="18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" customHeight="1">
      <c r="A719" s="17"/>
      <c r="B719" s="16"/>
      <c r="C719" s="18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" customHeight="1">
      <c r="A720" s="17"/>
      <c r="B720" s="16"/>
      <c r="C720" s="18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" customHeight="1">
      <c r="A721" s="17"/>
      <c r="B721" s="16"/>
      <c r="C721" s="18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" customHeight="1">
      <c r="A722" s="17"/>
      <c r="B722" s="16"/>
      <c r="C722" s="18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" customHeight="1">
      <c r="A723" s="17"/>
      <c r="B723" s="16"/>
      <c r="C723" s="18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" customHeight="1">
      <c r="A724" s="17"/>
      <c r="B724" s="16"/>
      <c r="C724" s="18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" customHeight="1">
      <c r="A725" s="17"/>
      <c r="B725" s="16"/>
      <c r="C725" s="18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" customHeight="1">
      <c r="A726" s="17"/>
      <c r="B726" s="16"/>
      <c r="C726" s="18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" customHeight="1">
      <c r="A727" s="17"/>
      <c r="B727" s="16"/>
      <c r="C727" s="18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" customHeight="1">
      <c r="A728" s="17"/>
      <c r="B728" s="16"/>
      <c r="C728" s="18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" customHeight="1">
      <c r="A729" s="17"/>
      <c r="B729" s="16"/>
      <c r="C729" s="18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" customHeight="1">
      <c r="A730" s="17"/>
      <c r="B730" s="16"/>
      <c r="C730" s="18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" customHeight="1">
      <c r="A731" s="17"/>
      <c r="B731" s="16"/>
      <c r="C731" s="18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" customHeight="1">
      <c r="A732" s="17"/>
      <c r="B732" s="16"/>
      <c r="C732" s="18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" customHeight="1">
      <c r="A733" s="17"/>
      <c r="B733" s="16"/>
      <c r="C733" s="18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" customHeight="1">
      <c r="A734" s="17"/>
      <c r="B734" s="16"/>
      <c r="C734" s="18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" customHeight="1">
      <c r="A735" s="17"/>
      <c r="B735" s="16"/>
      <c r="C735" s="18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" customHeight="1">
      <c r="A736" s="17"/>
      <c r="B736" s="16"/>
      <c r="C736" s="18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" customHeight="1">
      <c r="A737" s="17"/>
      <c r="B737" s="16"/>
      <c r="C737" s="18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" customHeight="1">
      <c r="A738" s="17"/>
      <c r="B738" s="16"/>
      <c r="C738" s="18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" customHeight="1">
      <c r="A739" s="17"/>
      <c r="B739" s="16"/>
      <c r="C739" s="18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" customHeight="1">
      <c r="A740" s="17"/>
      <c r="B740" s="16"/>
      <c r="C740" s="18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" customHeight="1">
      <c r="A741" s="17"/>
      <c r="B741" s="16"/>
      <c r="C741" s="18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" customHeight="1">
      <c r="A742" s="17"/>
      <c r="B742" s="16"/>
      <c r="C742" s="18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" customHeight="1">
      <c r="A743" s="17"/>
      <c r="B743" s="16"/>
      <c r="C743" s="18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" customHeight="1">
      <c r="A744" s="17"/>
      <c r="B744" s="16"/>
      <c r="C744" s="18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" customHeight="1">
      <c r="A745" s="17"/>
      <c r="B745" s="16"/>
      <c r="C745" s="18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" customHeight="1">
      <c r="A746" s="17"/>
      <c r="B746" s="16"/>
      <c r="C746" s="18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" customHeight="1">
      <c r="A747" s="17"/>
      <c r="B747" s="16"/>
      <c r="C747" s="18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" customHeight="1">
      <c r="A748" s="17"/>
      <c r="B748" s="16"/>
      <c r="C748" s="18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" customHeight="1">
      <c r="A749" s="17"/>
      <c r="B749" s="16"/>
      <c r="C749" s="18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" customHeight="1">
      <c r="A750" s="17"/>
      <c r="B750" s="16"/>
      <c r="C750" s="18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" customHeight="1">
      <c r="A751" s="17"/>
      <c r="B751" s="16"/>
      <c r="C751" s="18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" customHeight="1">
      <c r="A752" s="17"/>
      <c r="B752" s="16"/>
      <c r="C752" s="18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" customHeight="1">
      <c r="A753" s="17"/>
      <c r="B753" s="16"/>
      <c r="C753" s="18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" customHeight="1">
      <c r="A754" s="17"/>
      <c r="B754" s="16"/>
      <c r="C754" s="18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" customHeight="1">
      <c r="A755" s="17"/>
      <c r="B755" s="16"/>
      <c r="C755" s="18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" customHeight="1">
      <c r="A756" s="17"/>
      <c r="B756" s="16"/>
      <c r="C756" s="18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" customHeight="1">
      <c r="A757" s="17"/>
      <c r="B757" s="16"/>
      <c r="C757" s="18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" customHeight="1">
      <c r="A758" s="17"/>
      <c r="B758" s="16"/>
      <c r="C758" s="18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" customHeight="1">
      <c r="A759" s="17"/>
      <c r="B759" s="16"/>
      <c r="C759" s="18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" customHeight="1">
      <c r="A760" s="17"/>
      <c r="B760" s="16"/>
      <c r="C760" s="18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" customHeight="1">
      <c r="A761" s="17"/>
      <c r="B761" s="16"/>
      <c r="C761" s="18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" customHeight="1">
      <c r="A762" s="17"/>
      <c r="B762" s="16"/>
      <c r="C762" s="18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" customHeight="1">
      <c r="A763" s="17"/>
      <c r="B763" s="16"/>
      <c r="C763" s="18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" customHeight="1">
      <c r="A764" s="17"/>
      <c r="B764" s="16"/>
      <c r="C764" s="18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" customHeight="1">
      <c r="A765" s="17"/>
      <c r="B765" s="16"/>
      <c r="C765" s="18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" customHeight="1">
      <c r="A766" s="17"/>
      <c r="B766" s="16"/>
      <c r="C766" s="18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" customHeight="1">
      <c r="A767" s="17"/>
      <c r="B767" s="16"/>
      <c r="C767" s="18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" customHeight="1">
      <c r="A768" s="17"/>
      <c r="B768" s="16"/>
      <c r="C768" s="18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" customHeight="1">
      <c r="A769" s="17"/>
      <c r="B769" s="16"/>
      <c r="C769" s="18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" customHeight="1">
      <c r="A770" s="17"/>
      <c r="B770" s="16"/>
      <c r="C770" s="18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" customHeight="1">
      <c r="A771" s="17"/>
      <c r="B771" s="16"/>
      <c r="C771" s="18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" customHeight="1">
      <c r="A772" s="17"/>
      <c r="B772" s="16"/>
      <c r="C772" s="18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" customHeight="1">
      <c r="A773" s="17"/>
      <c r="B773" s="16"/>
      <c r="C773" s="18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" customHeight="1">
      <c r="A774" s="17"/>
      <c r="B774" s="16"/>
      <c r="C774" s="18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" customHeight="1">
      <c r="A775" s="17"/>
      <c r="B775" s="16"/>
      <c r="C775" s="18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" customHeight="1">
      <c r="A776" s="17"/>
      <c r="B776" s="16"/>
      <c r="C776" s="18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" customHeight="1">
      <c r="A777" s="17"/>
      <c r="B777" s="16"/>
      <c r="C777" s="18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" customHeight="1">
      <c r="A778" s="17"/>
      <c r="B778" s="16"/>
      <c r="C778" s="18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" customHeight="1">
      <c r="A779" s="17"/>
      <c r="B779" s="16"/>
      <c r="C779" s="18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" customHeight="1">
      <c r="A780" s="17"/>
      <c r="B780" s="16"/>
      <c r="C780" s="18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" customHeight="1">
      <c r="A781" s="17"/>
      <c r="B781" s="16"/>
      <c r="C781" s="18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" customHeight="1">
      <c r="A782" s="17"/>
      <c r="B782" s="16"/>
      <c r="C782" s="18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" customHeight="1">
      <c r="A783" s="17"/>
      <c r="B783" s="16"/>
      <c r="C783" s="18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" customHeight="1">
      <c r="A784" s="17"/>
      <c r="B784" s="16"/>
      <c r="C784" s="18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" customHeight="1">
      <c r="A785" s="17"/>
      <c r="B785" s="16"/>
      <c r="C785" s="18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" customHeight="1">
      <c r="A786" s="17"/>
      <c r="B786" s="16"/>
      <c r="C786" s="18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" customHeight="1">
      <c r="A787" s="17"/>
      <c r="B787" s="16"/>
      <c r="C787" s="18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" customHeight="1">
      <c r="A788" s="17"/>
      <c r="B788" s="16"/>
      <c r="C788" s="18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" customHeight="1">
      <c r="A789" s="17"/>
      <c r="B789" s="16"/>
      <c r="C789" s="18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" customHeight="1">
      <c r="A790" s="17"/>
      <c r="B790" s="16"/>
      <c r="C790" s="18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" customHeight="1">
      <c r="A791" s="17"/>
      <c r="B791" s="16"/>
      <c r="C791" s="18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" customHeight="1">
      <c r="A792" s="17"/>
      <c r="B792" s="16"/>
      <c r="C792" s="18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" customHeight="1">
      <c r="A793" s="17"/>
      <c r="B793" s="16"/>
      <c r="C793" s="18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" customHeight="1">
      <c r="A794" s="17"/>
      <c r="B794" s="16"/>
      <c r="C794" s="18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" customHeight="1">
      <c r="A795" s="17"/>
      <c r="B795" s="16"/>
      <c r="C795" s="18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" customHeight="1">
      <c r="A796" s="17"/>
      <c r="B796" s="16"/>
      <c r="C796" s="18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" customHeight="1">
      <c r="A797" s="17"/>
      <c r="B797" s="16"/>
      <c r="C797" s="18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" customHeight="1">
      <c r="A798" s="17"/>
      <c r="B798" s="16"/>
      <c r="C798" s="18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" customHeight="1">
      <c r="A799" s="17"/>
      <c r="B799" s="16"/>
      <c r="C799" s="18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" customHeight="1">
      <c r="A800" s="17"/>
      <c r="B800" s="16"/>
      <c r="C800" s="18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" customHeight="1">
      <c r="A801" s="17"/>
      <c r="B801" s="16"/>
      <c r="C801" s="18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" customHeight="1">
      <c r="A802" s="17"/>
      <c r="B802" s="16"/>
      <c r="C802" s="18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" customHeight="1">
      <c r="A803" s="17"/>
      <c r="B803" s="16"/>
      <c r="C803" s="18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" customHeight="1">
      <c r="A804" s="17"/>
      <c r="B804" s="16"/>
      <c r="C804" s="18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" customHeight="1">
      <c r="A805" s="17"/>
      <c r="B805" s="16"/>
      <c r="C805" s="18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" customHeight="1">
      <c r="A806" s="17"/>
      <c r="B806" s="16"/>
      <c r="C806" s="18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" customHeight="1">
      <c r="A807" s="17"/>
      <c r="B807" s="16"/>
      <c r="C807" s="18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" customHeight="1">
      <c r="A808" s="17"/>
      <c r="B808" s="16"/>
      <c r="C808" s="18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" customHeight="1">
      <c r="A809" s="17"/>
      <c r="B809" s="16"/>
      <c r="C809" s="18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" customHeight="1">
      <c r="A810" s="17"/>
      <c r="B810" s="16"/>
      <c r="C810" s="18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" customHeight="1">
      <c r="A811" s="17"/>
      <c r="B811" s="16"/>
      <c r="C811" s="18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" customHeight="1">
      <c r="A812" s="17"/>
      <c r="B812" s="16"/>
      <c r="C812" s="18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" customHeight="1">
      <c r="A813" s="17"/>
      <c r="B813" s="16"/>
      <c r="C813" s="18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" customHeight="1">
      <c r="A814" s="17"/>
      <c r="B814" s="16"/>
      <c r="C814" s="18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" customHeight="1">
      <c r="A815" s="17"/>
      <c r="B815" s="16"/>
      <c r="C815" s="18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" customHeight="1">
      <c r="A816" s="17"/>
      <c r="B816" s="16"/>
      <c r="C816" s="18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" customHeight="1">
      <c r="A817" s="17"/>
      <c r="B817" s="16"/>
      <c r="C817" s="18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" customHeight="1">
      <c r="A818" s="17"/>
      <c r="B818" s="16"/>
      <c r="C818" s="18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" customHeight="1">
      <c r="A819" s="17"/>
      <c r="B819" s="16"/>
      <c r="C819" s="18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" customHeight="1">
      <c r="A820" s="17"/>
      <c r="B820" s="16"/>
      <c r="C820" s="1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" customHeight="1">
      <c r="A821" s="17"/>
      <c r="B821" s="16"/>
      <c r="C821" s="18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" customHeight="1">
      <c r="A822" s="17"/>
      <c r="B822" s="16"/>
      <c r="C822" s="18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" customHeight="1">
      <c r="A823" s="17"/>
      <c r="B823" s="16"/>
      <c r="C823" s="18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" customHeight="1">
      <c r="A824" s="17"/>
      <c r="B824" s="16"/>
      <c r="C824" s="18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" customHeight="1">
      <c r="A825" s="17"/>
      <c r="B825" s="16"/>
      <c r="C825" s="18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" customHeight="1">
      <c r="A826" s="17"/>
      <c r="B826" s="16"/>
      <c r="C826" s="18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" customHeight="1">
      <c r="A827" s="17"/>
      <c r="B827" s="16"/>
      <c r="C827" s="18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" customHeight="1">
      <c r="A828" s="17"/>
      <c r="B828" s="16"/>
      <c r="C828" s="18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" customHeight="1">
      <c r="A829" s="17"/>
      <c r="B829" s="16"/>
      <c r="C829" s="18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" customHeight="1">
      <c r="A830" s="17"/>
      <c r="B830" s="16"/>
      <c r="C830" s="18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" customHeight="1">
      <c r="A831" s="17"/>
      <c r="B831" s="16"/>
      <c r="C831" s="18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" customHeight="1">
      <c r="A832" s="17"/>
      <c r="B832" s="16"/>
      <c r="C832" s="18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" customHeight="1">
      <c r="A833" s="17"/>
      <c r="B833" s="16"/>
      <c r="C833" s="18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" customHeight="1">
      <c r="A834" s="17"/>
      <c r="B834" s="16"/>
      <c r="C834" s="18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" customHeight="1">
      <c r="A835" s="17"/>
      <c r="B835" s="16"/>
      <c r="C835" s="18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" customHeight="1">
      <c r="A836" s="17"/>
      <c r="B836" s="16"/>
      <c r="C836" s="18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" customHeight="1">
      <c r="A837" s="17"/>
      <c r="B837" s="16"/>
      <c r="C837" s="18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" customHeight="1">
      <c r="A838" s="17"/>
      <c r="B838" s="16"/>
      <c r="C838" s="18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" customHeight="1">
      <c r="A839" s="17"/>
      <c r="B839" s="16"/>
      <c r="C839" s="18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" customHeight="1">
      <c r="A840" s="17"/>
      <c r="B840" s="16"/>
      <c r="C840" s="18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" customHeight="1">
      <c r="A841" s="17"/>
      <c r="B841" s="16"/>
      <c r="C841" s="18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" customHeight="1">
      <c r="A842" s="17"/>
      <c r="B842" s="16"/>
      <c r="C842" s="18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" customHeight="1">
      <c r="A843" s="17"/>
      <c r="B843" s="16"/>
      <c r="C843" s="18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" customHeight="1">
      <c r="A844" s="17"/>
      <c r="B844" s="16"/>
      <c r="C844" s="18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" customHeight="1">
      <c r="A845" s="17"/>
      <c r="B845" s="16"/>
      <c r="C845" s="18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" customHeight="1">
      <c r="A846" s="17"/>
      <c r="B846" s="16"/>
      <c r="C846" s="18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" customHeight="1">
      <c r="A847" s="17"/>
      <c r="B847" s="16"/>
      <c r="C847" s="18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" customHeight="1">
      <c r="A848" s="17"/>
      <c r="B848" s="16"/>
      <c r="C848" s="18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" customHeight="1">
      <c r="A849" s="17"/>
      <c r="B849" s="16"/>
      <c r="C849" s="18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" customHeight="1">
      <c r="A850" s="17"/>
      <c r="B850" s="16"/>
      <c r="C850" s="18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" customHeight="1">
      <c r="A851" s="17"/>
      <c r="B851" s="16"/>
      <c r="C851" s="18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" customHeight="1">
      <c r="A852" s="17"/>
      <c r="B852" s="16"/>
      <c r="C852" s="18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" customHeight="1">
      <c r="A853" s="17"/>
      <c r="B853" s="16"/>
      <c r="C853" s="18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" customHeight="1">
      <c r="A854" s="17"/>
      <c r="B854" s="16"/>
      <c r="C854" s="18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" customHeight="1">
      <c r="A855" s="17"/>
      <c r="B855" s="16"/>
      <c r="C855" s="18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" customHeight="1">
      <c r="A856" s="17"/>
      <c r="B856" s="16"/>
      <c r="C856" s="18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" customHeight="1">
      <c r="A857" s="17"/>
      <c r="B857" s="16"/>
      <c r="C857" s="18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" customHeight="1">
      <c r="A858" s="17"/>
      <c r="B858" s="16"/>
      <c r="C858" s="18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" customHeight="1">
      <c r="A859" s="17"/>
      <c r="B859" s="16"/>
      <c r="C859" s="18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" customHeight="1">
      <c r="A860" s="17"/>
      <c r="B860" s="16"/>
      <c r="C860" s="18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" customHeight="1">
      <c r="A861" s="17"/>
      <c r="B861" s="16"/>
      <c r="C861" s="18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" customHeight="1">
      <c r="A862" s="17"/>
      <c r="B862" s="16"/>
      <c r="C862" s="18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" customHeight="1">
      <c r="A863" s="17"/>
      <c r="B863" s="16"/>
      <c r="C863" s="18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" customHeight="1">
      <c r="A864" s="17"/>
      <c r="B864" s="16"/>
      <c r="C864" s="18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" customHeight="1">
      <c r="A865" s="17"/>
      <c r="B865" s="16"/>
      <c r="C865" s="18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" customHeight="1">
      <c r="A866" s="17"/>
      <c r="B866" s="16"/>
      <c r="C866" s="18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" customHeight="1">
      <c r="A867" s="17"/>
      <c r="B867" s="16"/>
      <c r="C867" s="18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" customHeight="1">
      <c r="A868" s="17"/>
      <c r="B868" s="16"/>
      <c r="C868" s="18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" customHeight="1">
      <c r="A869" s="17"/>
      <c r="B869" s="16"/>
      <c r="C869" s="18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" customHeight="1">
      <c r="A870" s="17"/>
      <c r="B870" s="16"/>
      <c r="C870" s="18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" customHeight="1">
      <c r="A871" s="17"/>
      <c r="B871" s="16"/>
      <c r="C871" s="18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" customHeight="1">
      <c r="A872" s="17"/>
      <c r="B872" s="16"/>
      <c r="C872" s="18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" customHeight="1">
      <c r="A873" s="17"/>
      <c r="B873" s="16"/>
      <c r="C873" s="18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" customHeight="1">
      <c r="A874" s="17"/>
      <c r="B874" s="16"/>
      <c r="C874" s="18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" customHeight="1">
      <c r="A875" s="17"/>
      <c r="B875" s="16"/>
      <c r="C875" s="18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" customHeight="1">
      <c r="A876" s="17"/>
      <c r="B876" s="16"/>
      <c r="C876" s="18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" customHeight="1">
      <c r="A877" s="17"/>
      <c r="B877" s="16"/>
      <c r="C877" s="18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" customHeight="1">
      <c r="A878" s="17"/>
      <c r="B878" s="16"/>
      <c r="C878" s="18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" customHeight="1">
      <c r="A879" s="17"/>
      <c r="B879" s="16"/>
      <c r="C879" s="18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" customHeight="1">
      <c r="A880" s="17"/>
      <c r="B880" s="16"/>
      <c r="C880" s="18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" customHeight="1">
      <c r="A881" s="17"/>
      <c r="B881" s="16"/>
      <c r="C881" s="18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" customHeight="1">
      <c r="A882" s="17"/>
      <c r="B882" s="16"/>
      <c r="C882" s="18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" customHeight="1">
      <c r="A883" s="17"/>
      <c r="B883" s="16"/>
      <c r="C883" s="18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" customHeight="1">
      <c r="A884" s="17"/>
      <c r="B884" s="16"/>
      <c r="C884" s="18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" customHeight="1">
      <c r="A885" s="17"/>
      <c r="B885" s="16"/>
      <c r="C885" s="18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" customHeight="1">
      <c r="A886" s="17"/>
      <c r="B886" s="16"/>
      <c r="C886" s="18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" customHeight="1">
      <c r="A887" s="17"/>
      <c r="B887" s="16"/>
      <c r="C887" s="18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" customHeight="1">
      <c r="A888" s="17"/>
      <c r="B888" s="16"/>
      <c r="C888" s="18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" customHeight="1">
      <c r="A889" s="17"/>
      <c r="B889" s="16"/>
      <c r="C889" s="18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" customHeight="1">
      <c r="A890" s="17"/>
      <c r="B890" s="16"/>
      <c r="C890" s="18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" customHeight="1">
      <c r="A891" s="17"/>
      <c r="B891" s="16"/>
      <c r="C891" s="18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" customHeight="1">
      <c r="A892" s="17"/>
      <c r="B892" s="16"/>
      <c r="C892" s="18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" customHeight="1">
      <c r="A893" s="17"/>
      <c r="B893" s="16"/>
      <c r="C893" s="18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" customHeight="1">
      <c r="A894" s="17"/>
      <c r="B894" s="16"/>
      <c r="C894" s="18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" customHeight="1">
      <c r="A895" s="17"/>
      <c r="B895" s="16"/>
      <c r="C895" s="18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" customHeight="1">
      <c r="A896" s="17"/>
      <c r="B896" s="16"/>
      <c r="C896" s="18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" customHeight="1">
      <c r="A897" s="17"/>
      <c r="B897" s="16"/>
      <c r="C897" s="18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" customHeight="1">
      <c r="A898" s="17"/>
      <c r="B898" s="16"/>
      <c r="C898" s="18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" customHeight="1">
      <c r="A899" s="17"/>
      <c r="B899" s="16"/>
      <c r="C899" s="18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" customHeight="1">
      <c r="A900" s="17"/>
      <c r="B900" s="16"/>
      <c r="C900" s="18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" customHeight="1">
      <c r="A901" s="17"/>
      <c r="B901" s="16"/>
      <c r="C901" s="18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" customHeight="1">
      <c r="A902" s="17"/>
      <c r="B902" s="16"/>
      <c r="C902" s="18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" customHeight="1">
      <c r="A903" s="17"/>
      <c r="B903" s="16"/>
      <c r="C903" s="18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" customHeight="1">
      <c r="A904" s="17"/>
      <c r="B904" s="16"/>
      <c r="C904" s="18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" customHeight="1">
      <c r="A905" s="17"/>
      <c r="B905" s="16"/>
      <c r="C905" s="18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" customHeight="1">
      <c r="A906" s="17"/>
      <c r="B906" s="16"/>
      <c r="C906" s="18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" customHeight="1">
      <c r="A907" s="17"/>
      <c r="B907" s="16"/>
      <c r="C907" s="18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" customHeight="1">
      <c r="A908" s="17"/>
      <c r="B908" s="16"/>
      <c r="C908" s="18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" customHeight="1">
      <c r="A909" s="17"/>
      <c r="B909" s="16"/>
      <c r="C909" s="18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" customHeight="1">
      <c r="A910" s="17"/>
      <c r="B910" s="16"/>
      <c r="C910" s="18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" customHeight="1">
      <c r="A911" s="17"/>
      <c r="B911" s="16"/>
      <c r="C911" s="18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" customHeight="1">
      <c r="A912" s="17"/>
      <c r="B912" s="16"/>
      <c r="C912" s="18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" customHeight="1">
      <c r="A913" s="17"/>
      <c r="B913" s="16"/>
      <c r="C913" s="18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" customHeight="1">
      <c r="A914" s="17"/>
      <c r="B914" s="16"/>
      <c r="C914" s="18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" customHeight="1">
      <c r="A915" s="17"/>
      <c r="B915" s="16"/>
      <c r="C915" s="18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" customHeight="1">
      <c r="A916" s="17"/>
      <c r="B916" s="16"/>
      <c r="C916" s="18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" customHeight="1">
      <c r="A917" s="17"/>
      <c r="B917" s="16"/>
      <c r="C917" s="18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" customHeight="1">
      <c r="A918" s="17"/>
      <c r="B918" s="16"/>
      <c r="C918" s="18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" customHeight="1">
      <c r="A919" s="17"/>
      <c r="B919" s="16"/>
      <c r="C919" s="18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" customHeight="1">
      <c r="A920" s="17"/>
      <c r="B920" s="16"/>
      <c r="C920" s="18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" customHeight="1">
      <c r="A921" s="17"/>
      <c r="B921" s="16"/>
      <c r="C921" s="18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" customHeight="1">
      <c r="A922" s="17"/>
      <c r="B922" s="16"/>
      <c r="C922" s="18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" customHeight="1">
      <c r="A923" s="17"/>
      <c r="B923" s="16"/>
      <c r="C923" s="18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" customHeight="1">
      <c r="A924" s="17"/>
      <c r="B924" s="16"/>
      <c r="C924" s="18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" customHeight="1">
      <c r="A925" s="17"/>
      <c r="B925" s="16"/>
      <c r="C925" s="18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" customHeight="1">
      <c r="A926" s="17"/>
      <c r="B926" s="16"/>
      <c r="C926" s="18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" customHeight="1">
      <c r="A927" s="17"/>
      <c r="B927" s="16"/>
      <c r="C927" s="18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" customHeight="1">
      <c r="A928" s="17"/>
      <c r="B928" s="16"/>
      <c r="C928" s="18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" customHeight="1">
      <c r="A929" s="17"/>
      <c r="B929" s="16"/>
      <c r="C929" s="18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" customHeight="1">
      <c r="A930" s="17"/>
      <c r="B930" s="16"/>
      <c r="C930" s="18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" customHeight="1">
      <c r="A931" s="17"/>
      <c r="B931" s="16"/>
      <c r="C931" s="18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" customHeight="1">
      <c r="A932" s="17"/>
      <c r="B932" s="16"/>
      <c r="C932" s="18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" customHeight="1">
      <c r="A933" s="17"/>
      <c r="B933" s="16"/>
      <c r="C933" s="18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" customHeight="1">
      <c r="A934" s="17"/>
      <c r="B934" s="16"/>
      <c r="C934" s="18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" customHeight="1">
      <c r="A935" s="17"/>
      <c r="B935" s="16"/>
      <c r="C935" s="18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" customHeight="1">
      <c r="A936" s="17"/>
      <c r="B936" s="16"/>
      <c r="C936" s="18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" customHeight="1">
      <c r="A937" s="17"/>
      <c r="B937" s="16"/>
      <c r="C937" s="18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" customHeight="1">
      <c r="A938" s="17"/>
      <c r="B938" s="16"/>
      <c r="C938" s="18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" customHeight="1">
      <c r="A939" s="17"/>
      <c r="B939" s="16"/>
      <c r="C939" s="18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" customHeight="1">
      <c r="A940" s="17"/>
      <c r="B940" s="16"/>
      <c r="C940" s="18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" customHeight="1">
      <c r="A941" s="17"/>
      <c r="B941" s="16"/>
      <c r="C941" s="18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" customHeight="1">
      <c r="A942" s="17"/>
      <c r="B942" s="16"/>
      <c r="C942" s="18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" customHeight="1">
      <c r="A943" s="17"/>
      <c r="B943" s="16"/>
      <c r="C943" s="18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" customHeight="1">
      <c r="A944" s="17"/>
      <c r="B944" s="16"/>
      <c r="C944" s="18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" customHeight="1">
      <c r="A945" s="17"/>
      <c r="B945" s="16"/>
      <c r="C945" s="18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" customHeight="1">
      <c r="A946" s="17"/>
      <c r="B946" s="16"/>
      <c r="C946" s="18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" customHeight="1">
      <c r="A947" s="17"/>
      <c r="B947" s="16"/>
      <c r="C947" s="18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" customHeight="1">
      <c r="A948" s="17"/>
      <c r="B948" s="16"/>
      <c r="C948" s="18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" customHeight="1">
      <c r="A949" s="17"/>
      <c r="B949" s="16"/>
      <c r="C949" s="18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" customHeight="1">
      <c r="A950" s="17"/>
      <c r="B950" s="16"/>
      <c r="C950" s="18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" customHeight="1">
      <c r="A951" s="17"/>
      <c r="B951" s="16"/>
      <c r="C951" s="18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" customHeight="1">
      <c r="A952" s="17"/>
      <c r="B952" s="16"/>
      <c r="C952" s="18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" customHeight="1">
      <c r="A953" s="17"/>
      <c r="B953" s="16"/>
      <c r="C953" s="18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" customHeight="1">
      <c r="A954" s="17"/>
      <c r="B954" s="16"/>
      <c r="C954" s="18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" customHeight="1">
      <c r="A955" s="17"/>
      <c r="B955" s="16"/>
      <c r="C955" s="18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" customHeight="1">
      <c r="A956" s="17"/>
      <c r="B956" s="16"/>
      <c r="C956" s="18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" customHeight="1">
      <c r="A957" s="17"/>
      <c r="B957" s="16"/>
      <c r="C957" s="18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" customHeight="1">
      <c r="A958" s="17"/>
      <c r="B958" s="16"/>
      <c r="C958" s="18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" customHeight="1">
      <c r="A959" s="17"/>
      <c r="B959" s="16"/>
      <c r="C959" s="18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" customHeight="1">
      <c r="A960" s="17"/>
      <c r="B960" s="16"/>
      <c r="C960" s="18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" customHeight="1">
      <c r="A961" s="17"/>
      <c r="B961" s="16"/>
      <c r="C961" s="18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" customHeight="1">
      <c r="A962" s="17"/>
      <c r="B962" s="16"/>
      <c r="C962" s="18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" customHeight="1">
      <c r="A963" s="17"/>
      <c r="B963" s="16"/>
      <c r="C963" s="18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" customHeight="1">
      <c r="A964" s="17"/>
      <c r="B964" s="16"/>
      <c r="C964" s="18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" customHeight="1">
      <c r="A965" s="17"/>
      <c r="B965" s="16"/>
      <c r="C965" s="18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" customHeight="1">
      <c r="A966" s="17"/>
      <c r="B966" s="16"/>
      <c r="C966" s="18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" customHeight="1">
      <c r="A967" s="17"/>
      <c r="B967" s="16"/>
      <c r="C967" s="18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" customHeight="1">
      <c r="A968" s="17"/>
      <c r="B968" s="16"/>
      <c r="C968" s="18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" customHeight="1">
      <c r="A969" s="17"/>
      <c r="B969" s="16"/>
      <c r="C969" s="18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" customHeight="1">
      <c r="A970" s="17"/>
      <c r="B970" s="16"/>
      <c r="C970" s="18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" customHeight="1">
      <c r="A971" s="17"/>
      <c r="B971" s="16"/>
      <c r="C971" s="18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" customHeight="1">
      <c r="A972" s="17"/>
      <c r="B972" s="16"/>
      <c r="C972" s="18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" customHeight="1">
      <c r="A973" s="17"/>
      <c r="B973" s="16"/>
      <c r="C973" s="18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" customHeight="1">
      <c r="A974" s="17"/>
      <c r="B974" s="16"/>
      <c r="C974" s="18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" customHeight="1">
      <c r="A975" s="17"/>
      <c r="B975" s="16"/>
      <c r="C975" s="18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" customHeight="1">
      <c r="A976" s="17"/>
      <c r="B976" s="16"/>
      <c r="C976" s="18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" customHeight="1">
      <c r="A977" s="17"/>
      <c r="B977" s="16"/>
      <c r="C977" s="18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" customHeight="1">
      <c r="A978" s="17"/>
      <c r="B978" s="16"/>
      <c r="C978" s="18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" customHeight="1">
      <c r="A979" s="17"/>
      <c r="B979" s="16"/>
      <c r="C979" s="18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" customHeight="1">
      <c r="A980" s="17"/>
      <c r="B980" s="16"/>
      <c r="C980" s="18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" customHeight="1">
      <c r="A981" s="17"/>
      <c r="B981" s="16"/>
      <c r="C981" s="18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" customHeight="1">
      <c r="A982" s="17"/>
      <c r="B982" s="16"/>
      <c r="C982" s="18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" customHeight="1">
      <c r="A983" s="17"/>
      <c r="B983" s="16"/>
      <c r="C983" s="18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" customHeight="1">
      <c r="A984" s="17"/>
      <c r="B984" s="16"/>
      <c r="C984" s="18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" customHeight="1">
      <c r="A985" s="17"/>
      <c r="B985" s="16"/>
      <c r="C985" s="18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" customHeight="1">
      <c r="A986" s="17"/>
      <c r="B986" s="16"/>
      <c r="C986" s="18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" customHeight="1">
      <c r="A987" s="17"/>
      <c r="B987" s="16"/>
      <c r="C987" s="18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" customHeight="1">
      <c r="A988" s="17"/>
      <c r="B988" s="16"/>
      <c r="C988" s="18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" customHeight="1">
      <c r="A989" s="17"/>
      <c r="B989" s="16"/>
      <c r="C989" s="18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" customHeight="1">
      <c r="A990" s="17"/>
      <c r="B990" s="16"/>
      <c r="C990" s="18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" customHeight="1">
      <c r="A991" s="17"/>
      <c r="B991" s="16"/>
      <c r="C991" s="18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" customHeight="1">
      <c r="A992" s="17"/>
      <c r="B992" s="16"/>
      <c r="C992" s="18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" customHeight="1">
      <c r="A993" s="17"/>
      <c r="B993" s="16"/>
      <c r="C993" s="18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" customHeight="1">
      <c r="A994" s="17"/>
      <c r="B994" s="16"/>
      <c r="C994" s="18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" customHeight="1">
      <c r="A995" s="17"/>
      <c r="B995" s="16"/>
      <c r="C995" s="18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" customHeight="1">
      <c r="A996" s="17"/>
      <c r="B996" s="16"/>
      <c r="C996" s="18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" customHeight="1">
      <c r="A997" s="17"/>
      <c r="B997" s="16"/>
      <c r="C997" s="18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" customHeight="1">
      <c r="A998" s="17"/>
      <c r="B998" s="16"/>
      <c r="C998" s="18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" customHeight="1">
      <c r="A999" s="17"/>
      <c r="B999" s="16"/>
      <c r="C999" s="18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" customHeight="1">
      <c r="A1000" s="31"/>
      <c r="B1000" s="30"/>
      <c r="C1000" s="32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spans="1:26" ht="15" customHeight="1">
      <c r="A1001" s="31"/>
      <c r="B1001" s="30"/>
      <c r="C1001" s="32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spans="1:26" ht="15" customHeight="1">
      <c r="A1002" s="31"/>
      <c r="B1002" s="30"/>
      <c r="C1002" s="32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</sheetData>
  <printOptions horizontalCentered="1" gridLines="1"/>
  <pageMargins left="0.25" right="0.25" top="0.39370078740157477" bottom="0.39370078740157477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класс</vt:lpstr>
      <vt:lpstr>2 класс</vt:lpstr>
      <vt:lpstr>3 класс</vt:lpstr>
      <vt:lpstr>4 класс</vt:lpstr>
      <vt:lpstr>Критерии 1 класс </vt:lpstr>
      <vt:lpstr>Критерии 2 класс</vt:lpstr>
      <vt:lpstr>Критерии 3 класс</vt:lpstr>
      <vt:lpstr>Критерии 4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LG3</dc:creator>
  <cp:lastModifiedBy>LG3</cp:lastModifiedBy>
  <dcterms:created xsi:type="dcterms:W3CDTF">2022-12-04T05:43:05Z</dcterms:created>
  <dcterms:modified xsi:type="dcterms:W3CDTF">2022-12-04T05:43:15Z</dcterms:modified>
</cp:coreProperties>
</file>